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HLBXtAEYmvYCHpnDVgzo4IR5fJIZhJWCf1SKcg8aOSDZCQpwZElW6r6jgLossJZopCCtUp3rI0Nl4nd/0gXyQ==" workbookSaltValue="SgsrcVI9hPzgudqBTDHP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29" i="11"/>
  <c r="BK9" i="11"/>
  <c r="BL12" i="11"/>
  <c r="AZ29" i="11"/>
  <c r="AZ19" i="11"/>
  <c r="S14" i="16"/>
  <c r="V12" i="21"/>
  <c r="P14" i="16"/>
  <c r="F13" i="16"/>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D9" i="8"/>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<sst xmlns="http://schemas.openxmlformats.org/spreadsheetml/2006/main" count="2654" uniqueCount="1185">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</sst>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zh23ZIXXE2RKciqyhYmxX1BxkQ0ZSi63ZDJSV/xmREecJee+Mm813pfreRVhhBQkJ0EpmwNKLJjZERzI7D7JQ==" saltValue="XegvgZpin1PigD1TFL9B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21.298579631308552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183</v>
      </c>
      <c r="D10" s="239">
        <f>IF(ISNUMBER(Datos!I10),Datos!I10," - ")</f>
        <v>183</v>
      </c>
      <c r="E10" s="240">
        <f>IF(ISNUMBER(Datos!J10),Datos!J10," - ")</f>
        <v>75</v>
      </c>
      <c r="F10" s="240">
        <f>IF(ISNUMBER(Datos!K10),Datos!K10," - ")</f>
        <v>44</v>
      </c>
      <c r="G10" s="1390" t="str">
        <f>IF(Datos!E10&lt;&gt;"",Datos!E10,Datos!D10)</f>
        <v>37</v>
      </c>
      <c r="H10" s="241">
        <f>IF(ISNUMBER(Datos!L10),Datos!L10," - ")</f>
        <v>214</v>
      </c>
      <c r="I10" s="1400" t="str">
        <f>IF(ISNUMBER(Datos!AS10/Datos!BM10),Datos!AS10/Datos!BM10," - ")</f>
        <v xml:space="preserve"> - </v>
      </c>
      <c r="J10" s="1401">
        <f>IF(ISNUMBER(Datos!BY10/Datos!CN10),Datos!BY10/Datos!CN10," - ")</f>
        <v>0</v>
      </c>
      <c r="K10" s="244">
        <f t="shared" ref="K10:K13" si="1">IF(ISNUMBER((E10-F10)/C10),(E10-F10)/C10," - ")</f>
        <v>0.16939890710382513</v>
      </c>
      <c r="L10" s="1402">
        <f>IF(ISNUMBER(NºAsuntos!I10/NºAsuntos!G10),(NºAsuntos!I10/NºAsuntos!G10)*11," - ")</f>
        <v>53.5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1.8333333333333333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183</v>
      </c>
      <c r="D14" s="1407">
        <f>SUBTOTAL(9,D9:D13)</f>
        <v>183</v>
      </c>
      <c r="E14" s="1408">
        <f>SUBTOTAL(9,E9:E13)</f>
        <v>75</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2017</v>
      </c>
      <c r="D16" s="239">
        <f>IF(ISNUMBER(IF(D_I="SI",Datos!I16,Datos!I16+Datos!AC16)),IF(D_I="SI",Datos!I16,Datos!I16+Datos!AC16)," - ")</f>
        <v>1999</v>
      </c>
      <c r="E16" s="240">
        <f>IF(ISNUMBER(IF(D_I="SI",Datos!J16,Datos!J16+Datos!AD16)),IF(D_I="SI",Datos!J16,Datos!J16+Datos!AD16)," - ")</f>
        <v>2467</v>
      </c>
      <c r="F16" s="240">
        <f>IF(ISNUMBER(IF(D_I="SI",Datos!K16,Datos!K16+Datos!AE16)),IF(D_I="SI",Datos!K16,Datos!K16+Datos!AE16)," - ")</f>
        <v>2511</v>
      </c>
      <c r="G16" s="1390" t="str">
        <f>IF(Datos!E16&lt;&gt;"",Datos!E16,Datos!D16)</f>
        <v>03</v>
      </c>
      <c r="H16" s="241">
        <f>IF(ISNUMBER(IF(D_I="SI",Datos!L16,Datos!L16+Datos!AF16)),IF(D_I="SI",Datos!L16,Datos!L16+Datos!AF16)," - ")</f>
        <v>1973</v>
      </c>
      <c r="I16" s="1400" t="str">
        <f>IF(ISNUMBER(Datos!AS16/Datos!BM16),Datos!AS16/Datos!BM16," - ")</f>
        <v xml:space="preserve"> - </v>
      </c>
      <c r="J16" s="1401">
        <f>IF(ISNUMBER(Datos!BY16/Datos!CN16),Datos!BY16/Datos!CN16," - ")</f>
        <v>0</v>
      </c>
      <c r="K16" s="244">
        <f t="shared" ref="K16:K22" si="3">IF(ISNUMBER((E16-F16)/C16),(E16-F16)/C16," - ")</f>
        <v>-2.1814576103123449E-2</v>
      </c>
      <c r="L16" s="1402">
        <f>IF(ISNUMBER(NºAsuntos!I16/NºAsuntos!G16),(NºAsuntos!I16/NºAsuntos!G16)*11," - ")</f>
        <v>8.6431700517722021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6</v>
      </c>
      <c r="D17" s="239">
        <f>IF(ISNUMBER(IF(D_I="SI",Datos!I17,Datos!I17+Datos!AC17)),IF(D_I="SI",Datos!I17,Datos!I17+Datos!AC17)," - ")</f>
        <v>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158</v>
      </c>
      <c r="F18" s="240">
        <f>IF(ISNUMBER(IF(D_I="SI",Datos!K18,Datos!K18+Datos!AE18)),IF(D_I="SI",Datos!K18,Datos!K18+Datos!AE18)," - ")</f>
        <v>172</v>
      </c>
      <c r="G18" s="1390" t="str">
        <f>IF(Datos!E18&lt;&gt;"",Datos!E18,Datos!D18)</f>
        <v>37</v>
      </c>
      <c r="H18" s="241">
        <f>IF(ISNUMBER(IF(D_I="SI",Datos!L18,Datos!L18+Datos!AF18)),IF(D_I="SI",Datos!L18,Datos!L18+Datos!AF18)," - ")</f>
        <v>133</v>
      </c>
      <c r="I18" s="1400" t="str">
        <f>IF(ISNUMBER(Datos!AS18/Datos!BM18),Datos!AS18/Datos!BM18," - ")</f>
        <v xml:space="preserve"> - </v>
      </c>
      <c r="J18" s="1401" t="str">
        <f>IF(ISNUMBER((Datos!BY18+Datos!BZ18)/Datos!CN18),(Datos!BY18+Datos!BZ18)/Datos!CN18," - ")</f>
        <v xml:space="preserve"> - </v>
      </c>
      <c r="K18" s="244">
        <f t="shared" si="3"/>
        <v>-9.5238095238095233E-2</v>
      </c>
      <c r="L18" s="1402">
        <f>IF(ISNUMBER(NºAsuntos!I18/NºAsuntos!G18),(NºAsuntos!I18/NºAsuntos!G18)*11," - ")</f>
        <v>8.5058139534883725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2170</v>
      </c>
      <c r="D23" s="1407">
        <f>SUBTOTAL(9,D16:D22)</f>
        <v>2152</v>
      </c>
      <c r="E23" s="1408">
        <f>SUBTOTAL(9,E16:E22)</f>
        <v>2625</v>
      </c>
      <c r="F23" s="1408">
        <f>SUBTOTAL(9,F16:F22)</f>
        <v>2683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2353</v>
      </c>
      <c r="D31" s="1435">
        <f>SUBTOTAL(9,D9:D30)</f>
        <v>2335</v>
      </c>
      <c r="E31" s="1436">
        <f>SUBTOTAL(9,E9:E30)</f>
        <v>2700</v>
      </c>
      <c r="F31" s="1436">
        <f>SUBTOTAL(9,F9:F30)</f>
        <v>2727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cFuG6beZr1oVX8RM0npP3+z3q84lc4b2GKLuZ+d19rBSDL1lJe44hZO+woVHlX7drc9QFlHiqgDu92MAeQ0qbw==" saltValue="sXp8vvyUyMSgNrbf8Jg7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Yudrgs4PGG4p+3DS8CTIZujWEx+Y71mY+yzfN+g7YjsbQVqmd2rENrBuB280nZlP+QsbKw/ulp6O1yvMhsopA==" saltValue="rU+/CXVfzwrZMqXHnnIV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5372</v>
      </c>
      <c r="J9" s="194">
        <v>3985</v>
      </c>
      <c r="K9" s="194">
        <v>3125</v>
      </c>
      <c r="L9" s="194">
        <v>6232</v>
      </c>
      <c r="M9" s="194">
        <v>629</v>
      </c>
      <c r="N9" s="194">
        <v>1523</v>
      </c>
      <c r="O9" s="194">
        <v>1318</v>
      </c>
      <c r="P9" s="194">
        <v>629</v>
      </c>
      <c r="Q9" s="194">
        <v>522</v>
      </c>
      <c r="R9" s="194">
        <v>8497</v>
      </c>
      <c r="S9" s="194">
        <v>4991</v>
      </c>
      <c r="T9" s="194">
        <v>2725</v>
      </c>
      <c r="U9" s="194">
        <v>2995</v>
      </c>
      <c r="V9" s="194">
        <v>4878</v>
      </c>
      <c r="W9" s="194">
        <v>595</v>
      </c>
      <c r="X9" s="201">
        <v>1616</v>
      </c>
      <c r="Y9" s="204">
        <v>187</v>
      </c>
      <c r="Z9" s="194">
        <v>172</v>
      </c>
      <c r="AA9" s="194">
        <v>184</v>
      </c>
      <c r="AB9" s="194">
        <v>175</v>
      </c>
      <c r="AC9" s="194">
        <v>0</v>
      </c>
      <c r="AD9" s="194">
        <v>0</v>
      </c>
      <c r="AE9" s="194">
        <v>0</v>
      </c>
      <c r="AF9" s="201">
        <v>0</v>
      </c>
      <c r="AG9" s="204">
        <v>224</v>
      </c>
      <c r="AH9" s="194">
        <v>146</v>
      </c>
      <c r="AI9" s="194">
        <v>207</v>
      </c>
      <c r="AJ9" s="205">
        <v>155</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5215</v>
      </c>
      <c r="AZ9" s="133">
        <f>IF(ISNUMBER(IF(J_V="SI",T9,T9+AH9)),IF(J_V="SI",T9,T9+AH9)," - ")</f>
        <v>2871</v>
      </c>
      <c r="BA9" s="134">
        <f>IF(ISNUMBER(IF(J_V="SI",U9,U9+AI9)),IF(J_V="SI",U9,U9+AI9)," - ")</f>
        <v>3202</v>
      </c>
      <c r="BB9" s="134">
        <f>IF(ISNUMBER(IF(J_V="SI",V9,V9+AJ9)),IF(J_V="SI",V9,V9+AJ9)," - ")</f>
        <v>5033</v>
      </c>
      <c r="BC9" s="135">
        <f>IF(ISNUMBER(X9),X9," - ")</f>
        <v>1616</v>
      </c>
      <c r="BD9" s="136">
        <f>IF(ISNUMBER(BA9/AZ9),BA9/AZ9," - ")</f>
        <v>1.1152908394287704</v>
      </c>
      <c r="BE9" s="137">
        <f>IF(ISNUMBER(BB9/BA9),BB9/BA9, " - ")</f>
        <v>1.5718301061836353</v>
      </c>
      <c r="BF9" s="137">
        <f>IF(ISNUMBER(BC9/BA9),BC9/BA9, " - ")</f>
        <v>0.50468457214241103</v>
      </c>
      <c r="BG9" s="209">
        <f>IF(ISNUMBER((AY9+AZ9)/BA9),(AY9+AZ9)/BA9," - ")</f>
        <v>2.5252966895690192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183</v>
      </c>
      <c r="J10" s="194">
        <v>75</v>
      </c>
      <c r="K10" s="194">
        <v>44</v>
      </c>
      <c r="L10" s="194">
        <v>214</v>
      </c>
      <c r="M10" s="194">
        <v>17</v>
      </c>
      <c r="N10" s="194">
        <v>9</v>
      </c>
      <c r="O10" s="194">
        <v>15</v>
      </c>
      <c r="P10" s="194">
        <v>6</v>
      </c>
      <c r="Q10" s="194">
        <v>1</v>
      </c>
      <c r="R10" s="194">
        <v>92</v>
      </c>
      <c r="S10" s="194">
        <v>140</v>
      </c>
      <c r="T10" s="194">
        <v>47</v>
      </c>
      <c r="U10" s="194">
        <v>36</v>
      </c>
      <c r="V10" s="194">
        <v>151</v>
      </c>
      <c r="W10" s="194">
        <v>13</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140</v>
      </c>
      <c r="AZ10" s="139">
        <f t="shared" si="0"/>
        <v>47</v>
      </c>
      <c r="BA10" s="139">
        <f t="shared" si="0"/>
        <v>36</v>
      </c>
      <c r="BB10" s="139">
        <f t="shared" si="0"/>
        <v>151</v>
      </c>
      <c r="BC10" s="135">
        <f t="shared" si="0"/>
        <v>13</v>
      </c>
      <c r="BD10" s="136">
        <f>IF(ISNUMBER(BA10/AZ10),BA10/AZ10," - ")</f>
        <v>0.76595744680851063</v>
      </c>
      <c r="BE10" s="137">
        <f>IF(ISNUMBER(BB10/BA10),BB10/BA10, " - ")</f>
        <v>4.1944444444444446</v>
      </c>
      <c r="BF10" s="137">
        <f>IF(ISNUMBER(BC10/BA10),BC10/BA10, " - ")</f>
        <v>0.3611111111111111</v>
      </c>
      <c r="BG10" s="209">
        <f>IF(ISNUMBER((AY10+AZ10)/BA10),(AY10+AZ10)/BA10," - ")</f>
        <v>5.1944444444444446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4</v>
      </c>
      <c r="K12" s="196">
        <v>4</v>
      </c>
      <c r="L12" s="196">
        <v>1</v>
      </c>
      <c r="M12" s="196">
        <v>0</v>
      </c>
      <c r="N12" s="196">
        <v>2</v>
      </c>
      <c r="O12" s="194">
        <v>9</v>
      </c>
      <c r="P12" s="196">
        <v>0</v>
      </c>
      <c r="Q12" s="196">
        <v>5</v>
      </c>
      <c r="R12" s="196">
        <v>1122</v>
      </c>
      <c r="S12" s="196">
        <v>1</v>
      </c>
      <c r="T12" s="196">
        <v>0</v>
      </c>
      <c r="U12" s="196">
        <v>0</v>
      </c>
      <c r="V12" s="196">
        <v>1</v>
      </c>
      <c r="W12" s="196">
        <v>0</v>
      </c>
      <c r="X12" s="202">
        <v>0</v>
      </c>
      <c r="Y12" s="204">
        <v>1</v>
      </c>
      <c r="Z12" s="194">
        <v>1</v>
      </c>
      <c r="AA12" s="194">
        <v>2</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5556</v>
      </c>
      <c r="J14" s="197">
        <f t="shared" si="7"/>
        <v>4064</v>
      </c>
      <c r="K14" s="197">
        <f t="shared" si="7"/>
        <v>3173</v>
      </c>
      <c r="L14" s="197">
        <f t="shared" si="7"/>
        <v>6447</v>
      </c>
      <c r="M14" s="197">
        <f t="shared" si="7"/>
        <v>646</v>
      </c>
      <c r="N14" s="197">
        <f t="shared" si="7"/>
        <v>1534</v>
      </c>
      <c r="O14" s="197">
        <f t="shared" si="7"/>
        <v>1342</v>
      </c>
      <c r="P14" s="197">
        <f t="shared" si="7"/>
        <v>635</v>
      </c>
      <c r="Q14" s="197">
        <f t="shared" si="7"/>
        <v>528</v>
      </c>
      <c r="R14" s="197">
        <f t="shared" si="7"/>
        <v>9711</v>
      </c>
      <c r="S14" s="197">
        <f t="shared" si="7"/>
        <v>5132</v>
      </c>
      <c r="T14" s="197">
        <f t="shared" si="7"/>
        <v>2772</v>
      </c>
      <c r="U14" s="197">
        <f t="shared" si="7"/>
        <v>3031</v>
      </c>
      <c r="V14" s="197">
        <f t="shared" si="7"/>
        <v>5030</v>
      </c>
      <c r="W14" s="197">
        <f t="shared" si="7"/>
        <v>608</v>
      </c>
      <c r="X14" s="197">
        <f t="shared" si="7"/>
        <v>1630</v>
      </c>
      <c r="Y14" s="197">
        <f t="shared" si="7"/>
        <v>188</v>
      </c>
      <c r="Z14" s="197">
        <f t="shared" si="7"/>
        <v>173</v>
      </c>
      <c r="AA14" s="197">
        <f t="shared" si="7"/>
        <v>186</v>
      </c>
      <c r="AB14" s="197">
        <f t="shared" si="7"/>
        <v>175</v>
      </c>
      <c r="AC14" s="197">
        <f t="shared" si="7"/>
        <v>0</v>
      </c>
      <c r="AD14" s="197">
        <f t="shared" si="7"/>
        <v>0</v>
      </c>
      <c r="AE14" s="197">
        <f t="shared" si="7"/>
        <v>0</v>
      </c>
      <c r="AF14" s="197">
        <f>SUBTOTAL(9,AF9:AF13)</f>
        <v>0</v>
      </c>
      <c r="AG14" s="197">
        <f t="shared" ref="AG14:AT14" si="8">SUBTOTAL(9,AG8:AG13)</f>
        <v>224</v>
      </c>
      <c r="AH14" s="197">
        <f t="shared" si="8"/>
        <v>146</v>
      </c>
      <c r="AI14" s="197">
        <f t="shared" si="8"/>
        <v>207</v>
      </c>
      <c r="AJ14" s="197">
        <f t="shared" si="8"/>
        <v>155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5356</v>
      </c>
      <c r="AZ14" s="197">
        <f>SUBTOTAL(9,AZ8:AZ13)</f>
        <v>2918</v>
      </c>
      <c r="BA14" s="197">
        <f>SUBTOTAL(9,BA8:BA13)</f>
        <v>3238</v>
      </c>
      <c r="BB14" s="197">
        <f>SUBTOTAL(9,BB8:BB13)</f>
        <v>5185</v>
      </c>
      <c r="BC14" s="197">
        <f>SUBTOTAL(9,BC8:BC13)</f>
        <v>1629</v>
      </c>
      <c r="BD14" s="219">
        <f>IF(ISNUMBER(BA14/AZ14),BA14/AZ14," - ")</f>
        <v>1.1096641535298148</v>
      </c>
      <c r="BE14" s="220">
        <f>IF(ISNUMBER(BB14/BA14),BB14/BA14, " - ")</f>
        <v>1.6012970969734404</v>
      </c>
      <c r="BF14" s="220">
        <f>IF(ISNUMBER(BC14/BA14),BC14/BA14, " - ")</f>
        <v>0.50308832612723908</v>
      </c>
      <c r="BG14" s="221">
        <f>IF(ISNUMBER((AY14+AZ14)/BA14),(AY14+AZ14)/BA14," - ")</f>
        <v>2.5552810376775787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1999</v>
      </c>
      <c r="J16" s="196">
        <v>2467</v>
      </c>
      <c r="K16" s="196">
        <v>2511</v>
      </c>
      <c r="L16" s="196">
        <v>1973</v>
      </c>
      <c r="M16" s="196">
        <v>496</v>
      </c>
      <c r="N16" s="196">
        <v>1370</v>
      </c>
      <c r="O16" s="194">
        <v>21</v>
      </c>
      <c r="P16" s="196">
        <v>154</v>
      </c>
      <c r="Q16" s="196">
        <v>85</v>
      </c>
      <c r="R16" s="196">
        <v>373</v>
      </c>
      <c r="S16" s="196">
        <v>2215</v>
      </c>
      <c r="T16" s="196">
        <v>2673</v>
      </c>
      <c r="U16" s="196">
        <v>2809</v>
      </c>
      <c r="V16" s="196">
        <v>2170</v>
      </c>
      <c r="W16" s="196">
        <v>350</v>
      </c>
      <c r="X16" s="202">
        <v>1705</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2215</v>
      </c>
      <c r="AZ16" s="139">
        <f t="shared" si="10"/>
        <v>2673</v>
      </c>
      <c r="BA16" s="139">
        <f t="shared" si="10"/>
        <v>2809</v>
      </c>
      <c r="BB16" s="139">
        <f t="shared" si="10"/>
        <v>2170</v>
      </c>
      <c r="BC16" s="135">
        <f>IF(ISNUMBER(W16),W16," - ")</f>
        <v>350</v>
      </c>
      <c r="BD16" s="136">
        <f>IF(ISNUMBER(BA16/AZ16),BA16/AZ16," - ")</f>
        <v>1.0508791619902731</v>
      </c>
      <c r="BE16" s="137">
        <f>IF(ISNUMBER(BB16/BA16),BB16/BA16, " - ")</f>
        <v>0.77251690993236022</v>
      </c>
      <c r="BF16" s="137">
        <f>IF(ISNUMBER(BC16/BA16),BC16/BA16, " - ")</f>
        <v>0.1245995016019936</v>
      </c>
      <c r="BG16" s="209">
        <f t="shared" ref="BG16:BG22" si="11">IF(ISNUMBER((AY16+AZ16)/BA16),(AY16+AZ16)/BA16," - ")</f>
        <v>1.740121039515842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v>
      </c>
      <c r="J17" s="196">
        <v>0</v>
      </c>
      <c r="K17" s="196">
        <v>0</v>
      </c>
      <c r="L17" s="196">
        <v>6</v>
      </c>
      <c r="M17" s="196">
        <v>0</v>
      </c>
      <c r="N17" s="196">
        <v>0</v>
      </c>
      <c r="O17" s="194">
        <v>1</v>
      </c>
      <c r="P17" s="196">
        <v>0</v>
      </c>
      <c r="Q17" s="196">
        <v>1</v>
      </c>
      <c r="R17" s="196">
        <v>3</v>
      </c>
      <c r="S17" s="196">
        <v>6</v>
      </c>
      <c r="T17" s="196">
        <v>0</v>
      </c>
      <c r="U17" s="196">
        <v>0</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6</v>
      </c>
      <c r="AZ17" s="137">
        <f t="shared" si="10"/>
        <v>0</v>
      </c>
      <c r="BA17" s="137">
        <f t="shared" si="10"/>
        <v>0</v>
      </c>
      <c r="BB17" s="137">
        <f t="shared" si="10"/>
        <v>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158</v>
      </c>
      <c r="K18" s="196">
        <v>172</v>
      </c>
      <c r="L18" s="196">
        <v>133</v>
      </c>
      <c r="M18" s="196">
        <v>54</v>
      </c>
      <c r="N18" s="196">
        <v>128</v>
      </c>
      <c r="O18" s="196">
        <v>10</v>
      </c>
      <c r="P18" s="196">
        <v>13</v>
      </c>
      <c r="Q18" s="196">
        <v>10</v>
      </c>
      <c r="R18" s="196">
        <v>60</v>
      </c>
      <c r="S18" s="196">
        <v>207</v>
      </c>
      <c r="T18" s="196">
        <v>161</v>
      </c>
      <c r="U18" s="196">
        <v>210</v>
      </c>
      <c r="V18" s="196">
        <v>158</v>
      </c>
      <c r="W18" s="196">
        <v>64</v>
      </c>
      <c r="X18" s="202">
        <v>108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207</v>
      </c>
      <c r="AZ18" s="139">
        <f t="shared" si="15"/>
        <v>161</v>
      </c>
      <c r="BA18" s="139">
        <f t="shared" si="15"/>
        <v>210</v>
      </c>
      <c r="BB18" s="139">
        <f t="shared" si="15"/>
        <v>158</v>
      </c>
      <c r="BC18" s="135">
        <f>IF(ISNUMBER(W18),W18," - ")</f>
        <v>64</v>
      </c>
      <c r="BD18" s="136">
        <f>IF(ISNUMBER(BA18/AZ18),BA18/AZ18," - ")</f>
        <v>1.3043478260869565</v>
      </c>
      <c r="BE18" s="137">
        <f>IF(ISNUMBER(BB18/BA18),BB18/BA18, " - ")</f>
        <v>0.75238095238095237</v>
      </c>
      <c r="BF18" s="137">
        <f>IF(ISNUMBER(BC18/BA18),BC18/BA18, " - ")</f>
        <v>0.30476190476190479</v>
      </c>
      <c r="BG18" s="209">
        <f>IF(ISNUMBER((AY18+AZ18)/BA18),(AY18+AZ18)/BA18," - ")</f>
        <v>1.7523809523809524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2152</v>
      </c>
      <c r="J23" s="197">
        <f t="shared" si="21"/>
        <v>2625</v>
      </c>
      <c r="K23" s="197">
        <f t="shared" si="21"/>
        <v>2683</v>
      </c>
      <c r="L23" s="197">
        <f t="shared" si="21"/>
        <v>2112</v>
      </c>
      <c r="M23" s="197">
        <f t="shared" si="21"/>
        <v>550</v>
      </c>
      <c r="N23" s="197">
        <f t="shared" si="21"/>
        <v>1498</v>
      </c>
      <c r="O23" s="197">
        <f t="shared" si="21"/>
        <v>32</v>
      </c>
      <c r="P23" s="197">
        <f t="shared" si="21"/>
        <v>167</v>
      </c>
      <c r="Q23" s="197">
        <f t="shared" si="21"/>
        <v>96</v>
      </c>
      <c r="R23" s="197">
        <f t="shared" si="21"/>
        <v>436</v>
      </c>
      <c r="S23" s="197">
        <f t="shared" si="21"/>
        <v>2428</v>
      </c>
      <c r="T23" s="197">
        <f t="shared" si="21"/>
        <v>2834</v>
      </c>
      <c r="U23" s="197">
        <f t="shared" si="21"/>
        <v>3019</v>
      </c>
      <c r="V23" s="197">
        <f t="shared" si="21"/>
        <v>2334</v>
      </c>
      <c r="W23" s="197">
        <f t="shared" si="21"/>
        <v>414</v>
      </c>
      <c r="X23" s="197">
        <f t="shared" si="21"/>
        <v>1813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2428</v>
      </c>
      <c r="AZ23" s="197">
        <f>SUBTOTAL(9,AZ15:AZ22)</f>
        <v>2834</v>
      </c>
      <c r="BA23" s="197">
        <f>SUBTOTAL(9,BA15:BA22)</f>
        <v>3019</v>
      </c>
      <c r="BB23" s="197">
        <f>SUBTOTAL(9,BB15:BB22)</f>
        <v>2334</v>
      </c>
      <c r="BC23" s="197">
        <f>SUBTOTAL(9,BC15:BC22)</f>
        <v>414</v>
      </c>
      <c r="BD23" s="219">
        <f>IF(ISNUMBER(BA23/AZ23),BA23/AZ23," - ")</f>
        <v>1.0652787579393084</v>
      </c>
      <c r="BE23" s="220">
        <f>IF(ISNUMBER(BB23/BA23),BB23/BA23, " - ")</f>
        <v>0.77310367671414371</v>
      </c>
      <c r="BF23" s="220">
        <f>IF(ISNUMBER(BC23/BA23),BC23/BA23, " - ")</f>
        <v>0.13713150049685327</v>
      </c>
      <c r="BG23" s="221">
        <f>IF(ISNUMBER((AY23+AZ23)/BA23),(AY23+AZ23)/BA23," - ")</f>
        <v>1.7429612454455117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7708</v>
      </c>
      <c r="J31" s="144">
        <f t="shared" si="36"/>
        <v>6689</v>
      </c>
      <c r="K31" s="144">
        <f t="shared" si="36"/>
        <v>5856</v>
      </c>
      <c r="L31" s="144">
        <f t="shared" si="36"/>
        <v>8559</v>
      </c>
      <c r="M31" s="144">
        <f t="shared" si="36"/>
        <v>1196</v>
      </c>
      <c r="N31" s="144">
        <f t="shared" si="36"/>
        <v>3032</v>
      </c>
      <c r="O31" s="144">
        <f t="shared" si="36"/>
        <v>1374</v>
      </c>
      <c r="P31" s="144">
        <f t="shared" si="36"/>
        <v>802</v>
      </c>
      <c r="Q31" s="144">
        <f t="shared" si="36"/>
        <v>624</v>
      </c>
      <c r="R31" s="144">
        <f t="shared" si="36"/>
        <v>10147</v>
      </c>
      <c r="S31" s="144">
        <f t="shared" si="36"/>
        <v>7560</v>
      </c>
      <c r="T31" s="144">
        <f t="shared" si="36"/>
        <v>5606</v>
      </c>
      <c r="U31" s="144">
        <f t="shared" si="36"/>
        <v>6050</v>
      </c>
      <c r="V31" s="144">
        <f t="shared" si="36"/>
        <v>7364</v>
      </c>
      <c r="W31" s="144">
        <f t="shared" si="36"/>
        <v>1022</v>
      </c>
      <c r="X31" s="144">
        <f t="shared" si="36"/>
        <v>3443</v>
      </c>
      <c r="Y31" s="144">
        <f t="shared" si="36"/>
        <v>188</v>
      </c>
      <c r="Z31" s="144">
        <f t="shared" si="36"/>
        <v>173</v>
      </c>
      <c r="AA31" s="144">
        <f t="shared" si="36"/>
        <v>186</v>
      </c>
      <c r="AB31" s="144">
        <f t="shared" si="36"/>
        <v>175</v>
      </c>
      <c r="AC31" s="144">
        <f t="shared" si="36"/>
        <v>0</v>
      </c>
      <c r="AD31" s="144">
        <f t="shared" si="36"/>
        <v>0</v>
      </c>
      <c r="AE31" s="144">
        <f t="shared" si="36"/>
        <v>0</v>
      </c>
      <c r="AF31" s="144">
        <f t="shared" si="36"/>
        <v>0</v>
      </c>
      <c r="AG31" s="144">
        <f t="shared" si="36"/>
        <v>224</v>
      </c>
      <c r="AH31" s="144">
        <f t="shared" si="36"/>
        <v>146</v>
      </c>
      <c r="AI31" s="144">
        <f t="shared" si="36"/>
        <v>207</v>
      </c>
      <c r="AJ31" s="144">
        <f t="shared" si="36"/>
        <v>155</v>
      </c>
      <c r="AK31" s="144">
        <f t="shared" si="36"/>
        <v>0</v>
      </c>
      <c r="AL31" s="144">
        <f t="shared" si="36"/>
        <v>0</v>
      </c>
      <c r="AM31" s="144">
        <f t="shared" si="36"/>
        <v>0</v>
      </c>
      <c r="AN31" s="224">
        <f t="shared" si="36"/>
        <v>0</v>
      </c>
      <c r="AO31" s="225">
        <v>10</v>
      </c>
      <c r="AP31" s="225">
        <v>9</v>
      </c>
      <c r="AQ31" s="225">
        <v>9</v>
      </c>
      <c r="AR31" s="225">
        <v>9</v>
      </c>
      <c r="AS31" s="166">
        <f t="shared" si="36"/>
        <v>0</v>
      </c>
      <c r="AT31" s="166">
        <f t="shared" si="36"/>
        <v>0</v>
      </c>
      <c r="AU31" s="225"/>
      <c r="AV31" s="226"/>
      <c r="AW31" s="225"/>
      <c r="AX31" s="226"/>
      <c r="AY31" s="143">
        <f>SUBTOTAL(9,AY9:AY30)</f>
        <v>7784</v>
      </c>
      <c r="AZ31" s="144">
        <f>SUBTOTAL(9,AZ9:AZ30)</f>
        <v>5752</v>
      </c>
      <c r="BA31" s="144">
        <f>SUBTOTAL(9,BA9:BA30)</f>
        <v>6257</v>
      </c>
      <c r="BB31" s="144">
        <f>SUBTOTAL(9,BB9:BB30)</f>
        <v>7519</v>
      </c>
      <c r="BC31" s="145">
        <f>SUBTOTAL(9,BC9:BC30)</f>
        <v>2043</v>
      </c>
      <c r="BD31" s="227">
        <f>IF(ISNUMBER(BA31/AZ31),BA31/AZ31," - ")</f>
        <v>1.0877955493741307</v>
      </c>
      <c r="BE31" s="224">
        <f>IF(ISNUMBER(BB31/BA31),BB31/BA31, " - ")</f>
        <v>1.2016941026050822</v>
      </c>
      <c r="BF31" s="224">
        <f>IF(ISNUMBER(BC31/BA31),BC31/BA31, " - ")</f>
        <v>0.3265143039795429</v>
      </c>
      <c r="BG31" s="145">
        <f>IF(ISNUMBER((AY31+AZ31)/BA31),(AY31+AZ31)/BA31," - ")</f>
        <v>2.1633370624900112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ataSlImQHlvXWTJNoJXNAsk6rwK8jXVaG3o+APl/g5Rvhd1mkGwkg35eHefT/ivu/kdLu8F+vZRxRk5O+z6JQ==" saltValue="c5QQ9r8CrOqRvhLbZNwH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iREkeVYjv09v8zuOkXDz4cFMjjDzK+Cd4C+zlFUUcT5YYrOHsQo7mRhSFQbnJCjYCH9LoevnEswhuCmVddFuQ==" saltValue="BwkeHKDRyO1/UD+C2zf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TELDE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172</v>
      </c>
      <c r="O9" s="549"/>
      <c r="P9" s="549"/>
      <c r="Q9" s="547">
        <f>IF(ISNUMBER(Datos!P9),Datos!P9,0)</f>
        <v>629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175</v>
      </c>
      <c r="AI9" s="549" t="str">
        <f>IF(ISNUMBER(Datos!CD9),Datos!CD9,"-")</f>
        <v>-</v>
      </c>
      <c r="AJ9" s="549" t="str">
        <f>IF(ISNUMBER(Datos!EN9),Datos!EN9," - ")</f>
        <v xml:space="preserve"> - </v>
      </c>
      <c r="AK9" s="549"/>
      <c r="AL9" s="550"/>
      <c r="AM9" s="766">
        <f>IF(ISNUMBER(Datos!R9),Datos!R9," - ")</f>
        <v>8497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629</v>
      </c>
      <c r="BD9" s="693">
        <f>IF(ISNUMBER(Datos!N9),Datos!N9," - ")</f>
        <v>1523</v>
      </c>
      <c r="BE9" s="693" t="str">
        <f>IF(ISNUMBER(Datos!BW9),Datos!BW9," - ")</f>
        <v xml:space="preserve"> - </v>
      </c>
      <c r="BF9" s="762" t="str">
        <f>IF(ISNUMBER(Datos!BX9),Datos!BX9," - ")</f>
        <v xml:space="preserve"> - </v>
      </c>
      <c r="BG9" s="763">
        <f>IF(ISNUMBER(IF(J_V="SI",Datos!K9/Datos!J9,(Datos!K9+Datos!AA9)/(Datos!J9+Datos!Z9))),IF(J_V="SI",Datos!K9/Datos!J9,(Datos!K9+Datos!AA9)/(Datos!J9+Datos!Z9))," - ")</f>
        <v>0.79600673562665381</v>
      </c>
      <c r="BH9" s="764">
        <f>IF(ISNUMBER(((IF(J_V="SI",Datos!L9/Datos!K9,(Datos!L9+Datos!AB9)/(Datos!K9+Datos!AA9)))*11)/factor_trimestre),((IF(J_V="SI",Datos!L9/Datos!K9,(Datos!L9+Datos!AB9)/(Datos!K9+Datos!AA9)))*11)/factor_trimestre," - ")</f>
        <v>5.8087035358114232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1.2753277711561383E-2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183</v>
      </c>
      <c r="G10" s="543">
        <f>IF(ISNUMBER(Datos!I10),Datos!I10," - ")</f>
        <v>183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1</v>
      </c>
      <c r="AD10" s="549"/>
      <c r="AE10" s="563"/>
      <c r="AF10" s="551">
        <f>IF(ISNUMBER(Datos!L10),Datos!L10,"-")</f>
        <v>214</v>
      </c>
      <c r="AG10" s="549"/>
      <c r="AH10" s="549"/>
      <c r="AI10" s="549"/>
      <c r="AJ10" s="549"/>
      <c r="AK10" s="549"/>
      <c r="AL10" s="550"/>
      <c r="AM10" s="766">
        <f>IF(ISNUMBER(Datos!R10),Datos!R10," - ")</f>
        <v>92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9</v>
      </c>
      <c r="BE10" s="693" t="str">
        <f>IF(ISNUMBER(Datos!BW10),Datos!BW10," - ")</f>
        <v xml:space="preserve"> - </v>
      </c>
      <c r="BF10" s="762" t="str">
        <f>IF(ISNUMBER(Datos!BX10),Datos!BX10," - ")</f>
        <v xml:space="preserve"> - </v>
      </c>
      <c r="BG10" s="763">
        <f>IF(ISNUMBER(Datos!K10/Datos!J10),Datos!K10/Datos!J10," - ")</f>
        <v>0.58666666666666667</v>
      </c>
      <c r="BH10" s="764">
        <f>IF(ISNUMBER(((Datos!L10/Datos!K10)*11)/factor_trimestre),((Datos!L10/Datos!K10)*11)/factor_trimestre," - ")</f>
        <v>14.590909090909092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5.7471264367816091E-2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v>
      </c>
      <c r="BH12" s="764">
        <f>IF(ISNUMBER(((IF(J_V="SI",Datos!L12/Datos!K12,(Datos!L12+Datos!AB12)/(Datos!K12+Datos!AA12)))*11)/factor_trimestre),((IF(J_V="SI",Datos!L12/Datos!K12,(Datos!L12+Datos!AB12)/(Datos!K12+Datos!AA12)))*11)/factor_trimestre," - ")</f>
        <v>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-4.4365572315882874E-3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183</v>
      </c>
      <c r="G14" s="1197">
        <f t="shared" si="1"/>
        <v>183</v>
      </c>
      <c r="H14" s="1198">
        <f t="shared" si="1"/>
        <v>0</v>
      </c>
      <c r="I14" s="1197">
        <f t="shared" si="1"/>
        <v>0</v>
      </c>
      <c r="J14" s="1164">
        <f t="shared" si="1"/>
        <v>0</v>
      </c>
      <c r="K14" s="1164">
        <f t="shared" si="1"/>
        <v>0</v>
      </c>
      <c r="L14" s="1198">
        <f t="shared" si="1"/>
        <v>0</v>
      </c>
      <c r="M14" s="1198">
        <f t="shared" si="1"/>
        <v>0</v>
      </c>
      <c r="N14" s="1198">
        <f t="shared" si="1"/>
        <v>173</v>
      </c>
      <c r="O14" s="1199">
        <f t="shared" si="1"/>
        <v>0</v>
      </c>
      <c r="P14" s="1199">
        <f t="shared" si="1"/>
        <v>0</v>
      </c>
      <c r="Q14" s="1198">
        <f t="shared" si="1"/>
        <v>635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528</v>
      </c>
      <c r="AD14" s="1198">
        <f t="shared" si="2"/>
        <v>0</v>
      </c>
      <c r="AE14" s="1198">
        <f t="shared" si="2"/>
        <v>0</v>
      </c>
      <c r="AF14" s="1198">
        <f t="shared" si="2"/>
        <v>214</v>
      </c>
      <c r="AG14" s="1198">
        <f t="shared" si="2"/>
        <v>0</v>
      </c>
      <c r="AH14" s="1198">
        <f t="shared" si="2"/>
        <v>175</v>
      </c>
      <c r="AI14" s="1198">
        <f t="shared" si="2"/>
        <v>0</v>
      </c>
      <c r="AJ14" s="1198">
        <f t="shared" si="2"/>
        <v>0</v>
      </c>
      <c r="AK14" s="1198">
        <f t="shared" si="2"/>
        <v>0</v>
      </c>
      <c r="AL14" s="1198">
        <f t="shared" si="2"/>
        <v>0</v>
      </c>
      <c r="AM14" s="1198">
        <f t="shared" si="2"/>
        <v>9711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646</v>
      </c>
      <c r="BD14" s="1198">
        <f t="shared" si="2"/>
        <v>1534</v>
      </c>
      <c r="BE14" s="1198">
        <f t="shared" si="2"/>
        <v>0</v>
      </c>
      <c r="BF14" s="1198">
        <f t="shared" si="2"/>
        <v>0</v>
      </c>
      <c r="BG14" s="1198">
        <f>IF(ISNUMBER(Datos!K14/Datos!J14),Datos!K14/Datos!J14," - ")</f>
        <v>0.78075787401574803</v>
      </c>
      <c r="BH14" s="1202">
        <f>IF(ISNUMBER(((Datos!L14/Datos!K14)*11)/factor_trimestre),((Datos!L14/Datos!K14)*11)/factor_trimestre," - ")</f>
        <v>6.0954932240781607</v>
      </c>
      <c r="BI14" s="1198">
        <f>IF(ISNUMBER('Resol  Asuntos'!D14/NºAsuntos!G14),'Resol  Asuntos'!D14/NºAsuntos!G14," - ")</f>
        <v>0.19231914260196487</v>
      </c>
      <c r="BJ14" s="1198" t="str">
        <f>IF(ISNUMBER(Datos!CI14/Datos!CJ14),Datos!CI14/Datos!CJ14," - ")</f>
        <v xml:space="preserve"> - </v>
      </c>
      <c r="BK14" s="1198">
        <f>SUBTOTAL(9,BK8:BK13)</f>
        <v>0</v>
      </c>
      <c r="BL14" s="1198">
        <f>IF(ISNUMBER((I14-AB14+L14)/(F14)),(I14-AB14+L14)/(F14)," - ")</f>
        <v>-0.24043715846994534</v>
      </c>
      <c r="BM14" s="1203">
        <f>SUBTOTAL(9,BM9:BM13)</f>
        <v>6.5787984847789194E-2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2017</v>
      </c>
      <c r="G16" s="743">
        <f>IF(ISNUMBER(IF(D_I="SI",Datos!I16,Datos!I16+Datos!AC16)),IF(D_I="SI",Datos!I16,Datos!I16+Datos!AC16)," - ")</f>
        <v>1999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2511</v>
      </c>
      <c r="AC16" s="240">
        <f>IF(ISNUMBER(Datos!Q16),Datos!Q16," - ")</f>
        <v>85</v>
      </c>
      <c r="AD16" s="374"/>
      <c r="AE16" s="562"/>
      <c r="AF16" s="741">
        <f>IF(ISNUMBER(IF(D_I="SI",Datos!L16,Datos!L16+Datos!AF16)),IF(D_I="SI",Datos!L16,Datos!L16+Datos!AF16)," - ")</f>
        <v>1973</v>
      </c>
      <c r="AG16" s="374"/>
      <c r="AH16" s="374"/>
      <c r="AI16" s="374"/>
      <c r="AJ16" s="549"/>
      <c r="AK16" s="374"/>
      <c r="AL16" s="545"/>
      <c r="AM16" s="375">
        <f>IF(ISNUMBER(Datos!R16),Datos!R16," - ")</f>
        <v>373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496</v>
      </c>
      <c r="BD16" s="243">
        <f>IF(ISNUMBER(Datos!N16),Datos!N16," - ")</f>
        <v>1370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1.0178354276449129</v>
      </c>
      <c r="BH16" s="764">
        <f>IF(ISNUMBER(((IF(D_I="SI",Datos!L16/Datos!K16,(Datos!L16+Datos!AF16)/(Datos!K16+Datos!AE16)))*11)/factor_trimestre),((IF(D_I="SI",Datos!L16/Datos!K16,(Datos!L16+Datos!AF16)/(Datos!K16+Datos!AE16)))*11)/factor_trimestre," - ")</f>
        <v>2.3572281959378736</v>
      </c>
      <c r="BI16" s="266">
        <f>IF(ISNUMBER('Resol  Asuntos'!D16/NºAsuntos!G16),'Resol  Asuntos'!D16/NºAsuntos!G16," - ")</f>
        <v>0.19753086419753085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6</v>
      </c>
      <c r="G17" s="743">
        <f>IF(ISNUMBER(IF(D_I="SI",Datos!I17,Datos!I17+Datos!AC17)),IF(D_I="SI",Datos!I17,Datos!I17+Datos!AC17)," - ")</f>
        <v>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1</v>
      </c>
      <c r="AD17" s="374"/>
      <c r="AE17" s="562"/>
      <c r="AF17" s="741">
        <f>IF(ISNUMBER(IF(D_I="SI",Datos!L17,Datos!L17+Datos!AF17)),IF(D_I="SI",Datos!L17,Datos!L17+Datos!AF17)," - ")</f>
        <v>6</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172</v>
      </c>
      <c r="AC18" s="547">
        <f>IF(ISNUMBER(Datos!Q18),Datos!Q18," - ")</f>
        <v>10</v>
      </c>
      <c r="AD18" s="549"/>
      <c r="AE18" s="562"/>
      <c r="AF18" s="551">
        <f>IF(ISNUMBER(Datos!L18),Datos!L18,"-")</f>
        <v>133</v>
      </c>
      <c r="AG18" s="549"/>
      <c r="AH18" s="549"/>
      <c r="AI18" s="549"/>
      <c r="AJ18" s="549"/>
      <c r="AK18" s="549"/>
      <c r="AL18" s="550"/>
      <c r="AM18" s="766">
        <f>IF(ISNUMBER(Datos!R18),Datos!R18," - ")</f>
        <v>60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128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1.0886075949367089</v>
      </c>
      <c r="BH18" s="764">
        <f>IF(ISNUMBER(((IF(D_I="SI",Datos!L18/Datos!K18,(Datos!L18+Datos!AF18)/(Datos!K18+Datos!AE18)))*11)/factor_trimestre),((IF(D_I="SI",Datos!L18/Datos!K18,(Datos!L18+Datos!AF18)/(Datos!K18+Datos!AE18)))*11)/factor_trimestre," - ")</f>
        <v>2.3197674418604652</v>
      </c>
      <c r="BI18" s="763">
        <f>IF(ISNUMBER('Resol  Asuntos'!D18/NºAsuntos!G18),'Resol  Asuntos'!D18/NºAsuntos!G18," - ")</f>
        <v>0.31395348837209303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2023</v>
      </c>
      <c r="G23" s="1197">
        <f>SUBTOTAL(9,G16:G22)</f>
        <v>2152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2683</v>
      </c>
      <c r="AC23" s="1198">
        <f t="shared" si="5"/>
        <v>96</v>
      </c>
      <c r="AD23" s="1198">
        <f t="shared" si="5"/>
        <v>0</v>
      </c>
      <c r="AE23" s="1198">
        <f t="shared" si="5"/>
        <v>0</v>
      </c>
      <c r="AF23" s="1198">
        <f t="shared" si="5"/>
        <v>2112</v>
      </c>
      <c r="AG23" s="1198">
        <f t="shared" si="5"/>
        <v>0</v>
      </c>
      <c r="AH23" s="1198">
        <f t="shared" si="5"/>
        <v>0</v>
      </c>
      <c r="AI23" s="1198">
        <f t="shared" si="5"/>
        <v>0</v>
      </c>
      <c r="AJ23" s="1198">
        <f t="shared" si="5"/>
        <v>0</v>
      </c>
      <c r="AK23" s="1198">
        <f t="shared" si="5"/>
        <v>0</v>
      </c>
      <c r="AL23" s="1198">
        <f t="shared" si="5"/>
        <v>0</v>
      </c>
      <c r="AM23" s="1198">
        <f t="shared" si="5"/>
        <v>436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550</v>
      </c>
      <c r="BD23" s="1198">
        <f t="shared" si="5"/>
        <v>1498</v>
      </c>
      <c r="BE23" s="1198">
        <f t="shared" si="5"/>
        <v>0</v>
      </c>
      <c r="BF23" s="1198">
        <f t="shared" si="5"/>
        <v>0</v>
      </c>
      <c r="BG23" s="1198">
        <f>IF(ISNUMBER(Datos!K23/Datos!J23),Datos!K23/Datos!J23," - ")</f>
        <v>1.0220952380952382</v>
      </c>
      <c r="BH23" s="1202">
        <f>IF(ISNUMBER(((Datos!L23/Datos!K23)*11)/factor_trimestre),((Datos!L23/Datos!K23)*11)/factor_trimestre," - ")</f>
        <v>2.361535594483787</v>
      </c>
      <c r="BI23" s="1198">
        <f>SUBTOTAL(9,BI16:BI22)</f>
        <v>0.51148435256962388</v>
      </c>
      <c r="BJ23" s="1198">
        <f>SUBTOTAL(9,BJ16:BJ22)</f>
        <v>0</v>
      </c>
      <c r="BK23" s="1198">
        <f>SUBTOTAL(9,BK16:BK22)</f>
        <v>0</v>
      </c>
      <c r="BL23" s="1198">
        <f>IF(ISNUMBER((I23-AB23+L23)/(F23)),(I23-AB23+L23)/(F23)," - ")</f>
        <v>-1.3262481463173506</v>
      </c>
      <c r="BM23" s="1205">
        <f>IF(ISNUMBER((Datos!P23-Datos!Q23)/(Datos!R23-Datos!P23+Datos!Q23)),(Datos!P23-Datos!Q23)/(Datos!R23-Datos!P23+Datos!Q23)," - ")</f>
        <v>0.19452054794520549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2206</v>
      </c>
      <c r="G31" s="1117">
        <f t="shared" si="18"/>
        <v>2335</v>
      </c>
      <c r="H31" s="1119">
        <f t="shared" si="18"/>
        <v>0</v>
      </c>
      <c r="I31" s="1117">
        <f t="shared" si="18"/>
        <v>0</v>
      </c>
      <c r="J31" s="1119">
        <f t="shared" si="18"/>
        <v>0</v>
      </c>
      <c r="K31" s="1119">
        <f t="shared" si="18"/>
        <v>0</v>
      </c>
      <c r="L31" s="1180">
        <f t="shared" si="18"/>
        <v>0</v>
      </c>
      <c r="M31" s="1180">
        <f t="shared" si="18"/>
        <v>0</v>
      </c>
      <c r="N31" s="1180">
        <f t="shared" si="18"/>
        <v>173</v>
      </c>
      <c r="O31" s="1180">
        <f t="shared" si="18"/>
        <v>0</v>
      </c>
      <c r="P31" s="1180">
        <f t="shared" si="18"/>
        <v>0</v>
      </c>
      <c r="Q31" s="1119">
        <f t="shared" si="18"/>
        <v>802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2727</v>
      </c>
      <c r="AC31" s="1118">
        <f t="shared" si="19"/>
        <v>624</v>
      </c>
      <c r="AD31" s="1118">
        <f t="shared" si="19"/>
        <v>0</v>
      </c>
      <c r="AE31" s="1118">
        <f t="shared" si="19"/>
        <v>0</v>
      </c>
      <c r="AF31" s="1125">
        <f t="shared" si="19"/>
        <v>2326</v>
      </c>
      <c r="AG31" s="1125">
        <f t="shared" si="19"/>
        <v>0</v>
      </c>
      <c r="AH31" s="1125">
        <f t="shared" si="19"/>
        <v>175</v>
      </c>
      <c r="AI31" s="1125">
        <f t="shared" si="19"/>
        <v>0</v>
      </c>
      <c r="AJ31" s="1118">
        <f t="shared" si="19"/>
        <v>0</v>
      </c>
      <c r="AK31" s="1125">
        <f t="shared" si="19"/>
        <v>0</v>
      </c>
      <c r="AL31" s="1125">
        <f t="shared" si="19"/>
        <v>0</v>
      </c>
      <c r="AM31" s="1125">
        <f t="shared" si="19"/>
        <v>10147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1196</v>
      </c>
      <c r="BD31" s="1117">
        <f t="shared" si="19"/>
        <v>3032</v>
      </c>
      <c r="BE31" s="1117">
        <f t="shared" si="19"/>
        <v>0</v>
      </c>
      <c r="BF31" s="1127">
        <f t="shared" si="19"/>
        <v>0</v>
      </c>
      <c r="BG31" s="1223">
        <f>IF(ISNUMBER(Datos!K31/Datos!J31),Datos!K31/Datos!J31," - ")</f>
        <v>0.87546718493048292</v>
      </c>
      <c r="BH31" s="1223">
        <f>IF(ISNUMBER(((Datos!L31/Datos!K31)*11)/factor_trimestre),((Datos!L31/Datos!K31)*11)/factor_trimestre," - ")</f>
        <v>4.3847336065573765</v>
      </c>
      <c r="BI31" s="1103">
        <f>IF(ISNUMBER(Datos!J31/Datos!I31),Datos!J31/Datos!I31," - ")</f>
        <v>0.8677996886351842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-1.2361740707162285</v>
      </c>
      <c r="BM31" s="1188">
        <f>IF(ISNUMBER((Datos!P31-Datos!Q31+R31)/(Datos!R31-Datos!P31+Datos!Q31-R31)),(Datos!P31-Datos!Q31+R31)/(Datos!R31-Datos!P31+Datos!Q31-R31)," - ")</f>
        <v>1.7855351589928778E-2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583.75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2.0131148946216082</v>
      </c>
      <c r="F33" s="673">
        <f>IF(ISNUMBER(STDEV(F8:F30)),STDEV(F8:F30),"-")</f>
        <v>952.80388228388233</v>
      </c>
      <c r="G33" s="674">
        <f>IF(ISNUMBER(STDEV(G8:G30)),STDEV(G8:G30),"-")</f>
        <v>925.01857124214382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1184.3504247356136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296.74373530783163</v>
      </c>
      <c r="BD33" s="673"/>
      <c r="BE33" s="673">
        <f>IF(ISNUMBER(STDEV(BE8:BE30)),STDEV(BE8:BE30),"-")</f>
        <v>0</v>
      </c>
      <c r="BF33" s="678">
        <f>IF(ISNUMBER(STDEV(BF8:BF30)),STDEV(BF8:BF30),"-")</f>
        <v>0</v>
      </c>
      <c r="BG33" s="1052">
        <f>IF(ISNUMBER(STDEV(BG8:BG30)),STDEV(BG8:BG30),"-")</f>
        <v>0.21303822299089389</v>
      </c>
      <c r="BH33" s="1058">
        <f>IF(ISNUMBER(STDEV(BH8:BH30)),STDEV(BH8:BH30),"-")</f>
        <v>4.7449204350945218</v>
      </c>
      <c r="BI33" s="273">
        <f>IF(ISNUMBER(STDEV(BI8:BI30)),STDEV(BI8:BI30),"-")</f>
        <v>0.14939544001238705</v>
      </c>
      <c r="BJ33" s="244" t="str">
        <f>IF(ISNUMBER(BL33/BM33),BL33/BM33," - ")</f>
        <v xml:space="preserve"> - </v>
      </c>
      <c r="BK33" s="709"/>
      <c r="BL33" s="681">
        <f>IF(ISNUMBER(STDEV(BL8:BL30)),STDEV(BL8:BL30),"-")</f>
        <v>0.76778431259376423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3f2PrlMEf7GScTxxM+LthPxzIIzRnCqJAE/aY5L2sDBg9KTMC4wNB256Zu3RG92gaT7gQ+pZj5AX/FemR3Xqg==" saltValue="TX5vRhMeM620ZqhirUMe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TELDE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629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522</v>
      </c>
      <c r="AA9" s="551" t="str">
        <f>IF(ISNUMBER(IF(J_V="SI",Datos!L9,Datos!L9+Datos!AB9)-IF(Monitorios="SI",Datos!CD9,0)),
                          IF(J_V="SI",Datos!L9,Datos!L9+Datos!AB9)-IF(Monitorios="SI",Datos!CD9,0),
                          " - ")</f>
        <v xml:space="preserve"> - </v>
      </c>
      <c r="AB9" s="549"/>
      <c r="AC9" s="549"/>
      <c r="AD9" s="563"/>
      <c r="AE9" s="563">
        <f>IF(ISNUMBER(Datos!R9),Datos!R9," - ")</f>
        <v>8497</v>
      </c>
      <c r="AF9" s="693" t="str">
        <f>IF(ISNUMBER(Datos!BV9),Datos!BV9," - ")</f>
        <v xml:space="preserve"> - </v>
      </c>
      <c r="AG9" s="552" t="str">
        <f>IF(ISNUMBER(Datos!DV9),Datos!DV9," - ")</f>
        <v xml:space="preserve"> - </v>
      </c>
      <c r="AH9" s="553"/>
      <c r="AI9" s="554"/>
      <c r="AJ9" s="552">
        <f>IF(ISNUMBER(Datos!M9),Datos!M9," - ")</f>
        <v>629</v>
      </c>
      <c r="AK9" s="693">
        <f>IF(ISNUMBER(Datos!N9),Datos!N9," - ")</f>
        <v>1523</v>
      </c>
      <c r="AL9" s="693" t="str">
        <f>IF(ISNUMBER(Datos!BW9),Datos!BW9," - ")</f>
        <v xml:space="preserve"> - </v>
      </c>
      <c r="AM9" s="762" t="str">
        <f>IF(ISNUMBER(Datos!BX9),Datos!BX9," - ")</f>
        <v xml:space="preserve"> - </v>
      </c>
      <c r="AN9" s="763"/>
      <c r="AO9" s="764">
        <f>IF(ISNUMBER(((NºAsuntos!I9/NºAsuntos!G9)*11)/factor_trimestre),((NºAsuntos!I9/NºAsuntos!G9)*11)/factor_trimestre," - ")</f>
        <v>5.8087035358114232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1.2753277711561383E-2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183</v>
      </c>
      <c r="G10" s="552">
        <f>IF(ISNUMBER(Datos!I10),Datos!I10," - ")</f>
        <v>183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1</v>
      </c>
      <c r="AA10" s="551">
        <f>IF(ISNUMBER(Datos!L10),Datos!L10,"-")</f>
        <v>214</v>
      </c>
      <c r="AB10" s="549"/>
      <c r="AC10" s="549"/>
      <c r="AD10" s="563"/>
      <c r="AE10" s="563">
        <f>IF(ISNUMBER(Datos!R10),Datos!R10," - ")</f>
        <v>92</v>
      </c>
      <c r="AF10" s="693" t="str">
        <f>IF(ISNUMBER(Datos!BV10),Datos!BV10," - ")</f>
        <v xml:space="preserve"> - </v>
      </c>
      <c r="AG10" s="552" t="str">
        <f>IF(ISNUMBER(Datos!DV10),Datos!DV10," - ")</f>
        <v xml:space="preserve"> - </v>
      </c>
      <c r="AH10" s="553"/>
      <c r="AI10" s="554"/>
      <c r="AJ10" s="552">
        <f>IF(ISNUMBER(Datos!M10),Datos!M10," - ")</f>
        <v>17</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14.590909090909092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5.7471264367816091E-2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1122</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-4.4365572315882874E-3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183</v>
      </c>
      <c r="G14" s="1197">
        <f>SUBTOTAL(9,G8:G13)</f>
        <v>183</v>
      </c>
      <c r="H14" s="1211"/>
      <c r="I14" s="1197">
        <f t="shared" ref="I14:N14" si="1">SUBTOTAL(9,I8:I13)</f>
        <v>0</v>
      </c>
      <c r="J14" s="1164">
        <f t="shared" si="1"/>
        <v>0</v>
      </c>
      <c r="K14" s="1211">
        <f t="shared" si="1"/>
        <v>0</v>
      </c>
      <c r="L14" s="1211">
        <f t="shared" si="1"/>
        <v>0</v>
      </c>
      <c r="M14" s="1211">
        <f t="shared" si="1"/>
        <v>0</v>
      </c>
      <c r="N14" s="1211">
        <f t="shared" si="1"/>
        <v>635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528</v>
      </c>
      <c r="AA14" s="1199">
        <f t="shared" si="3"/>
        <v>214</v>
      </c>
      <c r="AB14" s="1199">
        <f t="shared" si="3"/>
        <v>0</v>
      </c>
      <c r="AC14" s="1199">
        <f t="shared" si="3"/>
        <v>0</v>
      </c>
      <c r="AD14" s="1199">
        <f t="shared" si="3"/>
        <v>0</v>
      </c>
      <c r="AE14" s="1199">
        <f t="shared" si="3"/>
        <v>9711</v>
      </c>
      <c r="AF14" s="1211">
        <f t="shared" si="3"/>
        <v>0</v>
      </c>
      <c r="AG14" s="1211">
        <f t="shared" si="3"/>
        <v>0</v>
      </c>
      <c r="AH14" s="1211">
        <f t="shared" si="3"/>
        <v>0</v>
      </c>
      <c r="AI14" s="1211">
        <f t="shared" si="3"/>
        <v>0</v>
      </c>
      <c r="AJ14" s="1211">
        <f t="shared" si="3"/>
        <v>646</v>
      </c>
      <c r="AK14" s="1211">
        <f t="shared" si="3"/>
        <v>1534</v>
      </c>
      <c r="AL14" s="1211">
        <f t="shared" si="3"/>
        <v>0</v>
      </c>
      <c r="AM14" s="1211">
        <f t="shared" si="3"/>
        <v>0</v>
      </c>
      <c r="AN14" s="1211">
        <f t="shared" si="3"/>
        <v>0</v>
      </c>
      <c r="AO14" s="1203">
        <f>IF(ISNUMBER(((NºAsuntos!I14/NºAsuntos!G14)*11)/factor_trimestre),((NºAsuntos!I14/NºAsuntos!G14)*11)/factor_trimestre," - ")</f>
        <v>5.9142601964870503</v>
      </c>
      <c r="AP14" s="1213" t="str">
        <f>IF(ISNUMBER(Datos!CI14/Datos!CJ14),Datos!CI14/Datos!CJ14," - ")</f>
        <v xml:space="preserve"> - </v>
      </c>
      <c r="AQ14" s="1236">
        <f t="shared" ref="AQ14:AV14" si="4">SUBTOTAL(9,AQ9:AQ13)</f>
        <v>0</v>
      </c>
      <c r="AR14" s="1236">
        <f t="shared" si="4"/>
        <v>6.5787984847789194E-2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2017</v>
      </c>
      <c r="G16" s="552">
        <f>IF(ISNUMBER(IF(D_I="SI",Datos!I16,Datos!I16+Datos!AC16)),IF(D_I="SI",Datos!I16,Datos!I16+Datos!AC16)," - ")</f>
        <v>1999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2511</v>
      </c>
      <c r="Z16" s="805">
        <f>IF(ISNUMBER(Datos!Q16),Datos!Q16," - ")</f>
        <v>85</v>
      </c>
      <c r="AA16" s="551">
        <f>IF(ISNUMBER(IF(D_I="SI",Datos!L16,Datos!L16+Datos!AF16)),IF(D_I="SI",Datos!L16,Datos!L16+Datos!AF16)," - ")</f>
        <v>1973</v>
      </c>
      <c r="AB16" s="549"/>
      <c r="AC16" s="549"/>
      <c r="AD16" s="563"/>
      <c r="AE16" s="563">
        <f>IF(ISNUMBER(Datos!R16),Datos!R16," - ")</f>
        <v>373</v>
      </c>
      <c r="AF16" s="693" t="str">
        <f>IF(ISNUMBER(Datos!BV16),Datos!BV16," - ")</f>
        <v xml:space="preserve"> - </v>
      </c>
      <c r="AG16" s="552"/>
      <c r="AH16" s="553"/>
      <c r="AI16" s="554"/>
      <c r="AJ16" s="552">
        <f>IF(ISNUMBER(Datos!M16),Datos!M16," - ")</f>
        <v>496</v>
      </c>
      <c r="AK16" s="693">
        <f>IF(ISNUMBER(Datos!N16),Datos!N16," - ")</f>
        <v>1370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2.3572281959378736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6</v>
      </c>
      <c r="G17" s="552">
        <f>IF(ISNUMBER(IF(D_I="SI",Datos!I17,Datos!I17+Datos!AC17)),IF(D_I="SI",Datos!I17,Datos!I17+Datos!AC17)," - ")</f>
        <v>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1</v>
      </c>
      <c r="AA17" s="551">
        <f>IF(ISNUMBER(IF(D_I="SI",Datos!L17,Datos!L17+Datos!AF17)),IF(D_I="SI",Datos!L17,Datos!L17+Datos!AF17)," - ")</f>
        <v>6</v>
      </c>
      <c r="AB17" s="549"/>
      <c r="AC17" s="549"/>
      <c r="AD17" s="563"/>
      <c r="AE17" s="563">
        <f>IF(ISNUMBER(Datos!R17),Datos!R17," - ")</f>
        <v>3</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172</v>
      </c>
      <c r="Z18" s="805">
        <f>IF(ISNUMBER(Datos!Q18),Datos!Q18," - ")</f>
        <v>10</v>
      </c>
      <c r="AA18" s="551">
        <f>IF(ISNUMBER(Datos!L18),Datos!L18,"-")</f>
        <v>133</v>
      </c>
      <c r="AB18" s="549"/>
      <c r="AC18" s="549"/>
      <c r="AD18" s="563"/>
      <c r="AE18" s="563">
        <f>IF(ISNUMBER(Datos!R18),Datos!R18," - ")</f>
        <v>60</v>
      </c>
      <c r="AF18" s="693" t="str">
        <f>IF(ISNUMBER(Datos!BV18),Datos!BV18," - ")</f>
        <v xml:space="preserve"> - </v>
      </c>
      <c r="AG18" s="552" t="str">
        <f>IF(ISNUMBER(Datos!DV18),Datos!DV18," - ")</f>
        <v xml:space="preserve"> - </v>
      </c>
      <c r="AH18" s="553"/>
      <c r="AI18" s="554"/>
      <c r="AJ18" s="552">
        <f>IF(ISNUMBER(Datos!M18),Datos!M18," - ")</f>
        <v>54</v>
      </c>
      <c r="AK18" s="693">
        <f>IF(ISNUMBER(Datos!N18),Datos!N18," - ")</f>
        <v>128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2.3197674418604652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2023</v>
      </c>
      <c r="G23" s="1197">
        <f>SUBTOTAL(9,G16:G22)</f>
        <v>2152</v>
      </c>
      <c r="H23" s="1240">
        <f>SUBTOTAL(9,H16:H22)</f>
        <v>0</v>
      </c>
      <c r="I23" s="1217">
        <f>SUBTOTAL(9,I16:I22)</f>
        <v>0</v>
      </c>
      <c r="J23" s="1164">
        <f>SUBTOTAL(9,J15:J22)</f>
        <v>0</v>
      </c>
      <c r="K23" s="1240">
        <f t="shared" ref="K23:S23" si="5">SUBTOTAL(9,K16:K22)</f>
        <v>0</v>
      </c>
      <c r="L23" s="1240">
        <f t="shared" si="5"/>
        <v>0</v>
      </c>
      <c r="M23" s="1240">
        <f t="shared" si="5"/>
        <v>0</v>
      </c>
      <c r="N23" s="1240">
        <f t="shared" si="5"/>
        <v>167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2683</v>
      </c>
      <c r="Z23" s="1240">
        <f t="shared" si="6"/>
        <v>96</v>
      </c>
      <c r="AA23" s="1240">
        <f t="shared" si="6"/>
        <v>2112</v>
      </c>
      <c r="AB23" s="1240">
        <f t="shared" si="6"/>
        <v>0</v>
      </c>
      <c r="AC23" s="1240">
        <f t="shared" si="6"/>
        <v>0</v>
      </c>
      <c r="AD23" s="1240">
        <f t="shared" si="6"/>
        <v>0</v>
      </c>
      <c r="AE23" s="1240">
        <f t="shared" si="6"/>
        <v>436</v>
      </c>
      <c r="AF23" s="1240">
        <f t="shared" si="6"/>
        <v>0</v>
      </c>
      <c r="AG23" s="1240">
        <f t="shared" si="6"/>
        <v>0</v>
      </c>
      <c r="AH23" s="1240">
        <f t="shared" si="6"/>
        <v>0</v>
      </c>
      <c r="AI23" s="1240">
        <f t="shared" si="6"/>
        <v>0</v>
      </c>
      <c r="AJ23" s="1240">
        <f t="shared" si="6"/>
        <v>550</v>
      </c>
      <c r="AK23" s="1240">
        <f t="shared" si="6"/>
        <v>1498</v>
      </c>
      <c r="AL23" s="1240">
        <f t="shared" si="6"/>
        <v>0</v>
      </c>
      <c r="AM23" s="1240">
        <f t="shared" si="6"/>
        <v>0</v>
      </c>
      <c r="AN23" s="1240">
        <f t="shared" si="6"/>
        <v>0</v>
      </c>
      <c r="AO23" s="1242">
        <f>IF(ISNUMBER(((NºAsuntos!I23/NºAsuntos!G23)*11)/factor_trimestre),((NºAsuntos!I23/NºAsuntos!G23)*11)/factor_trimestre," - ")</f>
        <v>2.361535594483787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2206</v>
      </c>
      <c r="G31" s="1117">
        <f t="shared" si="12"/>
        <v>2335</v>
      </c>
      <c r="H31" s="1118">
        <f t="shared" si="12"/>
        <v>0</v>
      </c>
      <c r="I31" s="1117">
        <f t="shared" si="12"/>
        <v>0</v>
      </c>
      <c r="J31" s="1119">
        <f t="shared" si="12"/>
        <v>0</v>
      </c>
      <c r="K31" s="1117">
        <f t="shared" si="12"/>
        <v>0</v>
      </c>
      <c r="L31" s="1120">
        <f t="shared" si="12"/>
        <v>0</v>
      </c>
      <c r="M31" s="1117">
        <f t="shared" si="12"/>
        <v>0</v>
      </c>
      <c r="N31" s="1118">
        <f t="shared" si="12"/>
        <v>802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2727</v>
      </c>
      <c r="Z31" s="1124">
        <f t="shared" si="13"/>
        <v>624</v>
      </c>
      <c r="AA31" s="1125">
        <f t="shared" si="13"/>
        <v>2326</v>
      </c>
      <c r="AB31" s="1125">
        <f t="shared" si="13"/>
        <v>0</v>
      </c>
      <c r="AC31" s="1125">
        <f t="shared" si="13"/>
        <v>0</v>
      </c>
      <c r="AD31" s="1126">
        <f t="shared" si="13"/>
        <v>0</v>
      </c>
      <c r="AE31" s="1126">
        <f t="shared" si="13"/>
        <v>10147</v>
      </c>
      <c r="AF31" s="1127">
        <f t="shared" si="13"/>
        <v>0</v>
      </c>
      <c r="AG31" s="1128">
        <f t="shared" si="13"/>
        <v>0</v>
      </c>
      <c r="AH31" s="1129">
        <f t="shared" si="13"/>
        <v>0</v>
      </c>
      <c r="AI31" s="1127">
        <f t="shared" si="13"/>
        <v>0</v>
      </c>
      <c r="AJ31" s="1117">
        <f t="shared" si="13"/>
        <v>1196</v>
      </c>
      <c r="AK31" s="1117">
        <f t="shared" si="13"/>
        <v>3032</v>
      </c>
      <c r="AL31" s="1117">
        <f t="shared" si="13"/>
        <v>0</v>
      </c>
      <c r="AM31" s="1130">
        <f t="shared" si="13"/>
        <v>0</v>
      </c>
      <c r="AN31" s="1120">
        <f>IF(ISNUMBER(Datos!K31/Datos!J31),Datos!K31/Datos!J31," - ")</f>
        <v>0.87546718493048292</v>
      </c>
      <c r="AO31" s="1120">
        <f>IF(ISNUMBER(FIND("06",Criterios!A8,1)),(IF(ISNUMBER(((Datos!R31/Datos!Q31)*11)/factor_trimestre),((Datos!R31/Datos!Q31)*11)/factor_trimestre," - ")),(IF(ISNUMBER(((Datos!L31/Datos!K31)*11)/factor_trimestre),((Datos!L31/Datos!K31)*11)/factor_trimestre," - ")))</f>
        <v>4.3847336065573765</v>
      </c>
      <c r="AP31" s="1131" t="str">
        <f>IF(ISNUMBER(Datos!CI31/Datos!CJ31),Datos!CI31/Datos!CJ31," - ")</f>
        <v xml:space="preserve"> - </v>
      </c>
      <c r="AQ31" s="1131">
        <f>IF(OR(ISNUMBER(FIND("01",Criterios!A8,1)),ISNUMBER(FIND("02",Criterios!A8,1)),ISNUMBER(FIND("03",Criterios!A8,1)),ISNUMBER(FIND("04",Criterios!A8,1))),(J31-Y31+K31)/(F31-K31),(I31-Y31+K31)/(F31-K31))</f>
        <v>-1.2361740707162285</v>
      </c>
      <c r="AR31" s="1131">
        <f>IF(ISNUMBER((Datos!P31-Datos!Q31+O31)/(Datos!R31-Datos!P31+Datos!Q31-O31)),(Datos!P31-Datos!Q31+O31)/(Datos!R31-Datos!P31+Datos!Q31-O31)," - ")</f>
        <v>1.7855351589928778E-2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583.75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952.80388228388233</v>
      </c>
      <c r="G33" s="674">
        <f>IF(ISNUMBER(STDEV(G8:G30)),STDEV(G8:G30),"-")</f>
        <v>925.01857124214382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296.74373530783163</v>
      </c>
      <c r="AK33" s="276"/>
      <c r="AL33" s="276">
        <f>IF(ISNUMBER(STDEV(AL8:AL30)),STDEV(AL8:AL30),"-")</f>
        <v>0</v>
      </c>
      <c r="AM33" s="278">
        <f>IF(ISNUMBER(STDEV(AM8:AM30)),STDEV(AM8:AM30),"-")</f>
        <v>0</v>
      </c>
      <c r="AN33" s="660">
        <f>IF(ISNUMBER(STDEV(AN8:AN30)),STDEV(AN8:AN30),"-")</f>
        <v>0</v>
      </c>
      <c r="AO33" s="661">
        <f>IF(ISNUMBER(STDEV(AO8:AO30)),STDEV(AO8:AO30),"-")</f>
        <v>4.7375565890359512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i6EIVGqpdjWi3T2ldt0ZRGgk+LxJLKd+smoOjQL5mVUs7RS4Ep56iddQvO4axPW6JNh5Wf5iGz6cK4p9eN4sQ==" saltValue="yBVbxMMM/h/hFsJ+GOC1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XEMjgynXF4+1C/fLZvL+kCPHlhYtVm16EPa7HPXPGMdgm7S/wf/WBV0JDZ1Cn3o2c9FaCxlgE4oZxINWdYpeQ==" saltValue="+RqhOIBFvt+Yw9qZ7gH5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xLuMKBRC2Zf+Mrp9H7ZPet2/I5a7rzGF0DWR+lhDerMYztV9eetQHvh9RG6J7MjpQNpLGJVCD/mnKHIQLDvA==" saltValue="8r18eSX40/Ld1S4brnNN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TELDE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0.19231914260196487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0.13599016988583201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XWdbB218vZ/Dcxl2Q606Hnjud/FhF5cpP78smksKCX2fp2IjaSlPuccJqiKiaMrUjtrfU8soZiZRhLG/MMqIw==" saltValue="AYpque/oREqaA00RrkQk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NC4fSuNXiyB6U6H1RnrzPaWdXzC+Lf87vcwj0oVRqjI2/vzlNL7lFIF92VBNTLEAzldoS4bnk9NTmUrKgGJXWw==" saltValue="DAm9ykJ+6cefX/8QfAsN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TELDE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5559</v>
      </c>
      <c r="D9" s="452">
        <f>IF(ISNUMBER(C9/Datos!BH9),C9/Datos!BH9," - ")</f>
        <v>926.5</v>
      </c>
      <c r="E9" s="451">
        <f>IF(ISNUMBER(IF(J_V="SI",Datos!J9,Datos!J9+Datos!Z9)),IF(J_V="SI",Datos!J9,Datos!J9+Datos!Z9)," - ")</f>
        <v>4157</v>
      </c>
      <c r="F9" s="452">
        <f>IF(ISNUMBER(E9/B9),E9/B9," - ")</f>
        <v>692.83333333333337</v>
      </c>
      <c r="G9" s="451">
        <f>IF(ISNUMBER(IF(J_V="SI",Datos!K9,Datos!K9+Datos!AA9)),IF(J_V="SI",Datos!K9,Datos!K9+Datos!AA9)," - ")</f>
        <v>3309</v>
      </c>
      <c r="H9" s="452">
        <f>IF(ISNUMBER(G9/B9),G9/B9," - ")</f>
        <v>551.5</v>
      </c>
      <c r="I9" s="451">
        <f>IF(ISNUMBER(IF(J_V="SI",Datos!L9,Datos!L9+Datos!AB9)),IF(J_V="SI",Datos!L9,Datos!L9+Datos!AB9)," - ")</f>
        <v>6407</v>
      </c>
      <c r="J9" s="452">
        <f>IF(ISNUMBER(I9/B9),I9/B9," - ")</f>
        <v>1067.8333333333333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183</v>
      </c>
      <c r="D10" s="452">
        <f>IF(ISNUMBER(C10/Datos!BH10),C10/Datos!BH10," - ")</f>
        <v>183</v>
      </c>
      <c r="E10" s="451">
        <f>IF(ISNUMBER(Datos!J10),Datos!J10," - ")</f>
        <v>75</v>
      </c>
      <c r="F10" s="452">
        <f>IF(ISNUMBER(E10/B10),E10/B10," - ")</f>
        <v>75</v>
      </c>
      <c r="G10" s="451">
        <f>IF(ISNUMBER(Datos!K10),Datos!K10," - ")</f>
        <v>44</v>
      </c>
      <c r="H10" s="452">
        <f>IF(ISNUMBER(G10/B10),G10/B10," - ")</f>
        <v>44</v>
      </c>
      <c r="I10" s="451">
        <f>IF(ISNUMBER(Datos!L10),Datos!L10," - ")</f>
        <v>214</v>
      </c>
      <c r="J10" s="452">
        <f>IF(ISNUMBER(I10/B10),I10/B10," - ")</f>
        <v>214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5</v>
      </c>
      <c r="F12" s="452" t="str">
        <f>IF(ISNUMBER(E12/B12),E12/B12," - ")</f>
        <v xml:space="preserve"> - </v>
      </c>
      <c r="G12" s="451">
        <f>IF(ISNUMBER(IF(J_V="SI",Datos!K12,Datos!K12+Datos!AA12)),IF(J_V="SI",Datos!K12,Datos!K12+Datos!AA12)," - ")</f>
        <v>6</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5744</v>
      </c>
      <c r="D14" s="1147" t="str">
        <f>IF(ISNUMBER(C14/Datos!BI14),C14/Datos!BI14," - ")</f>
        <v xml:space="preserve"> - </v>
      </c>
      <c r="E14" s="1146">
        <f>SUBTOTAL(9,E8:E13)</f>
        <v>4237</v>
      </c>
      <c r="F14" s="1147">
        <f>IF(ISNUMBER(E14/B14),E14/B14," - ")</f>
        <v>706.16666666666663</v>
      </c>
      <c r="G14" s="1146">
        <f>SUBTOTAL(9,G8:G13)</f>
        <v>3359</v>
      </c>
      <c r="H14" s="1147">
        <f>IF(ISNUMBER(G14/B14),G14/B14," - ")</f>
        <v>559.83333333333337</v>
      </c>
      <c r="I14" s="1146">
        <f>SUBTOTAL(9,I8:I13)</f>
        <v>6622</v>
      </c>
      <c r="J14" s="1147">
        <f>IF(ISNUMBER(I14/B14),I14/B14," - ")</f>
        <v>1103.6666666666667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1999</v>
      </c>
      <c r="D16" s="452">
        <f>IF(ISNUMBER(C16/Datos!BH16),C16/Datos!BH16," - ")</f>
        <v>666.33333333333337</v>
      </c>
      <c r="E16" s="451">
        <f>IF(ISNUMBER(IF(D_I="SI",Datos!J16,Datos!J16+Datos!AD16)),IF(D_I="SI",Datos!J16,Datos!J16+Datos!AD16)," - ")</f>
        <v>2467</v>
      </c>
      <c r="F16" s="452">
        <f>IF(ISNUMBER(E16/B16),E16/B16," - ")</f>
        <v>822.33333333333337</v>
      </c>
      <c r="G16" s="451">
        <f>IF(ISNUMBER(IF(D_I="SI",Datos!K16,Datos!K16+Datos!AE16)),IF(D_I="SI",Datos!K16,Datos!K16+Datos!AE16)," - ")</f>
        <v>2511</v>
      </c>
      <c r="H16" s="452">
        <f>IF(ISNUMBER(G16/B16),G16/B16," - ")</f>
        <v>837</v>
      </c>
      <c r="I16" s="451">
        <f>IF(ISNUMBER(IF(D_I="SI",Datos!L16,Datos!L16+Datos!AF16)),IF(D_I="SI",Datos!L16,Datos!L16+Datos!AF16)," - ")</f>
        <v>1973</v>
      </c>
      <c r="J16" s="452">
        <f>IF(ISNUMBER(I16/B16),I16/B16," - ")</f>
        <v>657.66666666666663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158</v>
      </c>
      <c r="F18" s="452">
        <f>IF(ISNUMBER(E18/B18),E18/B18," - ")</f>
        <v>158</v>
      </c>
      <c r="G18" s="451">
        <f>IF(ISNUMBER(IF(D_I="SI",Datos!K18,Datos!K18+Datos!AE18)),IF(D_I="SI",Datos!K18,Datos!K18+Datos!AE18)," - ")</f>
        <v>172</v>
      </c>
      <c r="H18" s="452">
        <f>IF(ISNUMBER(G18/B18),G18/B18," - ")</f>
        <v>172</v>
      </c>
      <c r="I18" s="451">
        <f>IF(ISNUMBER(IF(D_I="SI",Datos!L18,Datos!L18+Datos!AF18)),IF(D_I="SI",Datos!L18,Datos!L18+Datos!AF18)," - ")</f>
        <v>133</v>
      </c>
      <c r="J18" s="452">
        <f>IF(ISNUMBER(I18/B18),I18/B18," - ")</f>
        <v>133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2152</v>
      </c>
      <c r="D23" s="1147" t="str">
        <f>IF(ISNUMBER(C23/Datos!BI23),C23/Datos!BI23," - ")</f>
        <v xml:space="preserve"> - </v>
      </c>
      <c r="E23" s="1146">
        <f>SUBTOTAL(9,E15:E22)</f>
        <v>2625</v>
      </c>
      <c r="F23" s="1147">
        <f>IF(ISNUMBER(E23/B23),E23/B23," - ")</f>
        <v>875</v>
      </c>
      <c r="G23" s="1146">
        <f>SUBTOTAL(9,G15:G22)</f>
        <v>2683</v>
      </c>
      <c r="H23" s="1147">
        <f>IF(ISNUMBER(G23/B23),G23/B23," - ")</f>
        <v>894.33333333333337</v>
      </c>
      <c r="I23" s="1146">
        <f>SUBTOTAL(9,I15:I22)</f>
        <v>2112</v>
      </c>
      <c r="J23" s="1147">
        <f>IF(ISNUMBER(I23/B23),I23/B23," - ")</f>
        <v>704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7896</v>
      </c>
      <c r="D31" s="1085" t="str">
        <f>IF(ISNUMBER(C31/Datos!BI31),C31/Datos!BI31," - ")</f>
        <v xml:space="preserve"> - </v>
      </c>
      <c r="E31" s="1084">
        <f>SUBTOTAL(9,E9:E30)</f>
        <v>6862</v>
      </c>
      <c r="F31" s="1085">
        <f>IF(ISNUMBER(E31/B31),E31/B31," - ")</f>
        <v>762.44444444444446</v>
      </c>
      <c r="G31" s="1084">
        <f>SUBTOTAL(9,G9:G30)</f>
        <v>6042</v>
      </c>
      <c r="H31" s="1085">
        <f>IF(ISNUMBER(G31/B31),G31/B31," - ")</f>
        <v>671.33333333333337</v>
      </c>
      <c r="I31" s="1084">
        <f>SUBTOTAL(9,I9:I30)</f>
        <v>8734</v>
      </c>
      <c r="J31" s="1085">
        <f>IF(ISNUMBER(I31/B31),I31/B31," - ")</f>
        <v>970.44444444444446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WPfz6pI+7dBw7C/opEcdh0i971hj33pI5pI7npAaQ95azXANzG1NTNhIHR3olZRbc/BqoHDNEnTW4tbOW82g==" saltValue="duI0uvSXGQwMEeWOpFzJ1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TELDE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183</v>
      </c>
      <c r="G10" s="906">
        <f>IF(ISNUMBER(Datos!I10),Datos!I10," - ")</f>
        <v>183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214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14.590909090909092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-4.4365572315882874E-3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183</v>
      </c>
      <c r="G14" s="1256">
        <f t="shared" si="0"/>
        <v>183</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5</v>
      </c>
      <c r="AE14" s="1257">
        <f t="shared" si="1"/>
        <v>0</v>
      </c>
      <c r="AF14" s="1257">
        <f t="shared" si="1"/>
        <v>214</v>
      </c>
      <c r="AG14" s="1257">
        <f t="shared" si="1"/>
        <v>0</v>
      </c>
      <c r="AH14" s="1257">
        <f t="shared" si="1"/>
        <v>1122</v>
      </c>
      <c r="AI14" s="1257">
        <f t="shared" si="1"/>
        <v>0</v>
      </c>
      <c r="AJ14" s="1257">
        <f t="shared" si="1"/>
        <v>0</v>
      </c>
      <c r="AK14" s="1257">
        <f t="shared" si="1"/>
        <v>0</v>
      </c>
      <c r="AL14" s="1257">
        <f t="shared" si="1"/>
        <v>17</v>
      </c>
      <c r="AM14" s="1257">
        <f t="shared" si="1"/>
        <v>11</v>
      </c>
      <c r="AN14" s="1257">
        <f t="shared" si="1"/>
        <v>0</v>
      </c>
      <c r="AO14" s="1257">
        <f t="shared" si="1"/>
        <v>0</v>
      </c>
      <c r="AP14" s="1262">
        <f>IF(ISNUMBER(((Datos!L14/Datos!K14)*11)/factor_trimestre),((Datos!L14/Datos!K14)*11)/factor_trimestre," - ")</f>
        <v>6.0954932240781607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-0.24043715846994534</v>
      </c>
      <c r="AU14" s="1257" t="str">
        <f>IF(ISNUMBER((DatosP!#REF!-DatosP!#REF!+DatosP!#REF!)/(DatosP!#REF!+DatosP!#REF!-DatosP!#REF!-DatosP!#REF!)),(DatosP!#REF!-DatosP!#REF!+DatosP!#REF!)/(DatosP!#REF!+DatosP!#REF!-DatosP!#REF!-DatosP!#REF!)," - ")</f>
        <v xml:space="preserve"> - </v>
      </c>
      <c r="AV14" s="1263">
        <f>SUBTOTAL(9,AV9:AV13)</f>
        <v>-4.4365572315882874E-3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2.361535594483787</v>
      </c>
      <c r="AQ23" s="1262">
        <f>IF(ISNUMBER(((Datos!M23/Datos!L23)*11)/factor_trimestre),((Datos!M23/Datos!L23)*11)/factor_trimestre," - ")</f>
        <v>0.78125000000000011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0.19452054794520549</v>
      </c>
      <c r="AW23" s="1265">
        <f>IF(ISNUMBER((Datos!Q23-Datos!R23)/(Datos!S23-Datos!Q23+Datos!R23)),(Datos!Q23-Datos!R23)/(Datos!S23-Datos!Q23+Datos!R23)," - ")</f>
        <v>-0.12283236994219653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183</v>
      </c>
      <c r="G31" s="1278">
        <f t="shared" si="8"/>
        <v>183</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5</v>
      </c>
      <c r="AE31" s="1284">
        <f t="shared" si="9"/>
        <v>0</v>
      </c>
      <c r="AF31" s="1285">
        <f t="shared" si="9"/>
        <v>214</v>
      </c>
      <c r="AG31" s="1285">
        <f t="shared" si="9"/>
        <v>0</v>
      </c>
      <c r="AH31" s="1285">
        <f t="shared" si="9"/>
        <v>1122</v>
      </c>
      <c r="AI31" s="1285">
        <f t="shared" si="9"/>
        <v>0</v>
      </c>
      <c r="AJ31" s="1286">
        <f t="shared" si="9"/>
        <v>0</v>
      </c>
      <c r="AK31" s="1286">
        <f t="shared" si="9"/>
        <v>0</v>
      </c>
      <c r="AL31" s="1278">
        <f t="shared" si="9"/>
        <v>17</v>
      </c>
      <c r="AM31" s="1278">
        <f t="shared" si="9"/>
        <v>11</v>
      </c>
      <c r="AN31" s="1278">
        <f t="shared" si="9"/>
        <v>0</v>
      </c>
      <c r="AO31" s="1278">
        <f t="shared" si="9"/>
        <v>0</v>
      </c>
      <c r="AP31" s="1278">
        <f>IF(ISNUMBER(((Datos!L31/Datos!K31)*11)/factor_trimestre),((Datos!L31/Datos!K31)*11)/factor_trimestre," - ")</f>
        <v>4.3847336065573765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-0.24043715846994534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1.7855351589928778E-2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100.23322802344541</v>
      </c>
      <c r="G33" s="1007">
        <f>IF(ISNUMBER(STDEV(G8:G30)),STDEV(G8:G30),"-")</f>
        <v>100.23322802344541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6.2516710075758795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w49cf7eqDeQDEvXUsfrbobMjHITUIilJrMjp0/zM4YqKFsT3j/cSztNyPhUJky5rhI3jdXOPjazHks08woN9g==" saltValue="zbnYgHm90QKxwjzdgeDS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TELDE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vhJ3WACOMLxyW/Krpx112+RzSpk0Gr+tsoFMjHYBs7MENTWX8UVf1HPmk96H/w01Hu/O/xxyK7BRj8q89dxPA==" saltValue="fsKlBVVj07Mr1DmXTpXv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TELDE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629</v>
      </c>
      <c r="E9" s="452">
        <f t="shared" ref="E9:E14" si="0">IF(ISNUMBER(D9/B9),D9/B9," - ")</f>
        <v>104.83333333333333</v>
      </c>
      <c r="F9" s="451">
        <f>IF(ISNUMBER(Datos!N9),Datos!N9," - ")</f>
        <v>1523</v>
      </c>
      <c r="G9" s="452">
        <f t="shared" ref="G9:G14" si="1">IF(ISNUMBER(F9/B9),F9/B9," - ")</f>
        <v>253.83333333333334</v>
      </c>
      <c r="H9" s="451">
        <f>IF(ISNUMBER(Datos!O9),Datos!O9," - ")</f>
        <v>1318</v>
      </c>
      <c r="I9" s="452">
        <f>IF(ISNUMBER(H9/B9),H9/B9," - ")</f>
        <v>219.66666666666666</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9</v>
      </c>
      <c r="G10" s="452">
        <f>IF(ISNUMBER(F10/B10),F10/B10," - ")</f>
        <v>9</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9</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646</v>
      </c>
      <c r="E14" s="1147">
        <f t="shared" si="0"/>
        <v>92.285714285714292</v>
      </c>
      <c r="F14" s="1146">
        <f>SUBTOTAL(9,F9:F13)</f>
        <v>1534</v>
      </c>
      <c r="G14" s="1147">
        <f t="shared" si="1"/>
        <v>219.14285714285714</v>
      </c>
      <c r="H14" s="1146">
        <f>SUBTOTAL(9,H9:H13)</f>
        <v>1342</v>
      </c>
      <c r="I14" s="1147">
        <f>IF(ISNUMBER(H14/B14),H14/B14," - ")</f>
        <v>191.71428571428572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496</v>
      </c>
      <c r="E16" s="452">
        <f t="shared" ref="E16:E23" si="3">IF(ISNUMBER(D16/B16),D16/B16," - ")</f>
        <v>165.33333333333334</v>
      </c>
      <c r="F16" s="451">
        <f>IF(ISNUMBER(Datos!N16),Datos!N16," - ")</f>
        <v>1370</v>
      </c>
      <c r="G16" s="452">
        <f t="shared" ref="G16:G23" si="4">IF(ISNUMBER(F16/B16),F16/B16," - ")</f>
        <v>456.66666666666669</v>
      </c>
      <c r="H16" s="451">
        <f>IF(ISNUMBER(Datos!O16),Datos!O16," - ")</f>
        <v>21</v>
      </c>
      <c r="I16" s="452">
        <f t="shared" ref="I16:I22" si="5">IF(ISNUMBER(H16/B16),H16/B16," - ")</f>
        <v>7</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1</v>
      </c>
      <c r="I17" s="452" t="str">
        <f t="shared" si="5"/>
        <v xml:space="preserve"> - </v>
      </c>
    </row>
    <row r="18" spans="1:9">
      <c r="A18" s="450" t="str">
        <f>Datos!A18</f>
        <v>Jdos. Violencia contra la mujer</v>
      </c>
      <c r="B18" s="480">
        <f>Datos!AO18</f>
        <v>1</v>
      </c>
      <c r="C18" s="481">
        <f>Datos!AQ18</f>
        <v>0</v>
      </c>
      <c r="D18" s="451">
        <f>IF(ISNUMBER(Datos!M18),Datos!M18," - ")</f>
        <v>54</v>
      </c>
      <c r="E18" s="452">
        <f>IF(ISNUMBER(D18/B18),D18/B18," - ")</f>
        <v>54</v>
      </c>
      <c r="F18" s="451">
        <f>IF(ISNUMBER(Datos!N18),Datos!N18," - ")</f>
        <v>128</v>
      </c>
      <c r="G18" s="452">
        <f>IF(ISNUMBER(F18/B18),F18/B18," - ")</f>
        <v>128</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550</v>
      </c>
      <c r="E23" s="1147">
        <f t="shared" si="3"/>
        <v>137.5</v>
      </c>
      <c r="F23" s="1146">
        <f>SUBTOTAL(9,F16:F22)</f>
        <v>1498</v>
      </c>
      <c r="G23" s="1147">
        <f t="shared" si="4"/>
        <v>374.5</v>
      </c>
      <c r="H23" s="1146">
        <f>SUBTOTAL(9,H16:H22)</f>
        <v>32</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1196</v>
      </c>
      <c r="E31" s="1085">
        <f>IF(ISNUMBER(D31/B31),D31/B31," - ")</f>
        <v>132.88888888888889</v>
      </c>
      <c r="F31" s="1084">
        <f>SUBTOTAL(9,F8:F30)</f>
        <v>3032</v>
      </c>
      <c r="G31" s="1085">
        <f>IF(ISNUMBER(F31/B31),F31/B31," - ")</f>
        <v>336.88888888888891</v>
      </c>
      <c r="H31" s="1084">
        <f>SUBTOTAL(9,H8:H30)</f>
        <v>1374</v>
      </c>
      <c r="I31" s="1085">
        <f>IF(ISNUMBER(H31/B31),H31/B31," - ")</f>
        <v>152.66666666666666</v>
      </c>
    </row>
    <row r="34" spans="1:1">
      <c r="A34" s="439" t="str">
        <f>Criterios!A4</f>
        <v>Fecha Informe: 05 may. 2023</v>
      </c>
    </row>
    <row r="39" spans="1:1">
      <c r="A39" s="462"/>
    </row>
  </sheetData>
  <sheetProtection algorithmName="SHA-512" hashValue="e/DLDesSFv81VDSfIj6Gk6VYNKloftWkkUJ0dgJwDoeh05doCIh4kvYTiejCFwkY8kzrwKerC18/5oxnIjszgQ==" saltValue="yoZLu47ofTjRIzHMgRu4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TELDE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629</v>
      </c>
      <c r="C9" s="489">
        <f>IF(ISNUMBER(Datos!Q9),Datos!Q9," - ")</f>
        <v>522</v>
      </c>
      <c r="D9" s="456">
        <f>IF(ISNUMBER(Datos!R9),Datos!R9," - ")</f>
        <v>8497</v>
      </c>
    </row>
    <row r="10" spans="1:4">
      <c r="A10" s="450" t="str">
        <f>Datos!A10</f>
        <v>Jdos. Violencia contra la mujer</v>
      </c>
      <c r="B10" s="488">
        <f>IF(ISNUMBER(Datos!P10),Datos!P10," - ")</f>
        <v>6</v>
      </c>
      <c r="C10" s="489">
        <f>IF(ISNUMBER(Datos!Q10),Datos!Q10," - ")</f>
        <v>1</v>
      </c>
      <c r="D10" s="456">
        <f>IF(ISNUMBER(Datos!R10),Datos!R10," - ")</f>
        <v>92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5</v>
      </c>
      <c r="D12" s="456">
        <f>IF(ISNUMBER(Datos!R12),Datos!R12," - ")</f>
        <v>1122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635</v>
      </c>
      <c r="C14" s="1150">
        <f>SUBTOTAL(9,C9:C13)</f>
        <v>528</v>
      </c>
      <c r="D14" s="1148">
        <f>SUBTOTAL(9,D9:D13)</f>
        <v>9711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154</v>
      </c>
      <c r="C16" s="489">
        <f>IF(ISNUMBER(Datos!Q16),Datos!Q16," - ")</f>
        <v>85</v>
      </c>
      <c r="D16" s="456">
        <f>IF(ISNUMBER(Datos!R16),Datos!R16," - ")</f>
        <v>373</v>
      </c>
    </row>
    <row r="17" spans="1:4">
      <c r="A17" s="450" t="str">
        <f>Datos!A17</f>
        <v xml:space="preserve">Jdos. 1ª Instª. e Instr.                        </v>
      </c>
      <c r="B17" s="488">
        <f>IF(ISNUMBER(Datos!P17),Datos!P17," - ")</f>
        <v>0</v>
      </c>
      <c r="C17" s="489">
        <f>IF(ISNUMBER(Datos!Q17),Datos!Q17," - ")</f>
        <v>1</v>
      </c>
      <c r="D17" s="456">
        <f>IF(ISNUMBER(Datos!R17),Datos!R17," - ")</f>
        <v>3</v>
      </c>
    </row>
    <row r="18" spans="1:4">
      <c r="A18" s="450" t="str">
        <f>Datos!A18</f>
        <v>Jdos. Violencia contra la mujer</v>
      </c>
      <c r="B18" s="488">
        <f>IF(ISNUMBER(Datos!P18),Datos!P18," - ")</f>
        <v>13</v>
      </c>
      <c r="C18" s="489">
        <f>IF(ISNUMBER(Datos!Q18),Datos!Q18," - ")</f>
        <v>10</v>
      </c>
      <c r="D18" s="456">
        <f>IF(ISNUMBER(Datos!R18),Datos!R18," - ")</f>
        <v>60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167</v>
      </c>
      <c r="C23" s="1150">
        <f>SUBTOTAL(9,C16:C22)</f>
        <v>96</v>
      </c>
      <c r="D23" s="1148">
        <f>SUBTOTAL(9,D16:D22)</f>
        <v>436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802</v>
      </c>
      <c r="C31" s="1089">
        <f>SUBTOTAL(9,C8:C30)</f>
        <v>624</v>
      </c>
      <c r="D31" s="1090">
        <f>SUBTOTAL(9,D8:D30)</f>
        <v>10147</v>
      </c>
    </row>
    <row r="32" spans="1:4" ht="7.5" customHeight="1"/>
    <row r="33" spans="1:1" ht="6" customHeight="1"/>
    <row r="34" spans="1:1">
      <c r="A34" s="439" t="str">
        <f>Criterios!A4</f>
        <v>Fecha Informe: 05 may. 2023</v>
      </c>
    </row>
    <row r="39" spans="1:1">
      <c r="A39" s="462"/>
    </row>
  </sheetData>
  <sheetProtection algorithmName="SHA-512" hashValue="FZQuM903UMI88UPFVm3/Z+evAB7T/eiaYY0lb5zrmy1tSWRMlrnfOjync4LIpB2XYte5RMsRkcndi59+/HnQuw==" saltValue="0ZryDLiM26SCGIPfpLC/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TELDE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6.5963566634707579E-2</v>
      </c>
      <c r="C9" s="515">
        <f>IF(ISNUMBER(
   IF(J_V="SI",(Datos!J9-Datos!T9)/Datos!T9,(Datos!J9+Datos!Z9-(Datos!T9+Datos!AH9))/(Datos!T9+Datos!AH9))
     ),IF(J_V="SI",(Datos!J9-Datos!T9)/Datos!T9,(Datos!J9+Datos!Z9-(Datos!T9+Datos!AH9))/(Datos!T9+Datos!AH9))," - ")</f>
        <v>0.44792755137582724</v>
      </c>
      <c r="D9" s="515">
        <f>IF(ISNUMBER(
   IF(J_V="SI",(Datos!K9-Datos!U9)/Datos!U9,(Datos!K9+Datos!AA9-(Datos!U9+Datos!AI9))/(Datos!U9+Datos!AI9))
     ),IF(J_V="SI",(Datos!K9-Datos!U9)/Datos!U9,(Datos!K9+Datos!AA9-(Datos!U9+Datos!AI9))/(Datos!U9+Datos!AI9))," - ")</f>
        <v>3.3416614615865085E-2</v>
      </c>
      <c r="E9" s="515">
        <f>IF(ISNUMBER(
   IF(J_V="SI",(Datos!L9-Datos!V9)/Datos!V9,(Datos!L9+Datos!AB9-(Datos!V9+Datos!AJ9))/(Datos!V9+Datos!AJ9))
     ),IF(J_V="SI",(Datos!L9-Datos!V9)/Datos!V9,(Datos!L9+Datos!AB9-(Datos!V9+Datos!AJ9))/(Datos!V9+Datos!AJ9))," - ")</f>
        <v>0.27299821180210609</v>
      </c>
      <c r="F9" s="515">
        <f>IF(ISNUMBER((Datos!M9-Datos!W9)/Datos!W9),(Datos!M9-Datos!W9)/Datos!W9," - ")</f>
        <v>5.7142857142857141E-2</v>
      </c>
      <c r="G9" s="516">
        <f>IF(ISNUMBER((Datos!N9-Datos!X9)/Datos!X9),(Datos!N9-Datos!X9)/Datos!X9," - ")</f>
        <v>-5.7549504950495052E-2</v>
      </c>
      <c r="H9" s="514">
        <f>IF(ISNUMBER(((NºAsuntos!G9/NºAsuntos!E9)-Datos!BD9)/Datos!BD9),((NºAsuntos!G9/NºAsuntos!E9)-Datos!BD9)/Datos!BD9," - ")</f>
        <v>-0.28627878264081097</v>
      </c>
      <c r="I9" s="515">
        <f>IF(ISNUMBER(((NºAsuntos!I9/NºAsuntos!G9)-Datos!BE9)/Datos!BE9),((NºAsuntos!I9/NºAsuntos!G9)-Datos!BE9)/Datos!BE9," - ")</f>
        <v>0.23183447391669496</v>
      </c>
      <c r="J9" s="521">
        <f>IF(ISNUMBER((('Resol  Asuntos'!D9/NºAsuntos!G9)-Datos!BF9)/Datos!BF9),(('Resol  Asuntos'!D9/NºAsuntos!G9)-Datos!BF9)/Datos!BF9," - ")</f>
        <v>-0.62335357515805978</v>
      </c>
      <c r="K9" s="522">
        <f>IF(ISNUMBER((((NºAsuntos!C9+NºAsuntos!E9)/NºAsuntos!G9)-Datos!BG9)/Datos!BG9),(((NºAsuntos!C9+NºAsuntos!E9)/NºAsuntos!G9)-Datos!BG9)/Datos!BG9," - ")</f>
        <v>0.16272853168720328</v>
      </c>
    </row>
    <row r="10" spans="1:11">
      <c r="A10" s="450" t="str">
        <f>Datos!A10</f>
        <v>Jdos. Violencia contra la mujer</v>
      </c>
      <c r="B10" s="514">
        <f>IF(ISNUMBER((Datos!I10-Datos!S10)/Datos!S10),(Datos!I10-Datos!S10)/Datos!S10," - ")</f>
        <v>0.30714285714285716</v>
      </c>
      <c r="C10" s="515">
        <f>IF(ISNUMBER((Datos!J10-Datos!T10)/Datos!T10),(Datos!J10-Datos!T10)/Datos!T10," - ")</f>
        <v>0.5957446808510638</v>
      </c>
      <c r="D10" s="515">
        <f>IF(ISNUMBER((Datos!K10-Datos!U10)/Datos!U10),(Datos!K10-Datos!U10)/Datos!U10," - ")</f>
        <v>0.22222222222222221</v>
      </c>
      <c r="E10" s="515">
        <f>IF(ISNUMBER((Datos!L10-Datos!V10)/Datos!V10),(Datos!L10-Datos!V10)/Datos!V10," - ")</f>
        <v>0.41721854304635764</v>
      </c>
      <c r="F10" s="515">
        <f>IF(ISNUMBER((Datos!M10-Datos!W10)/Datos!W10),(Datos!M10-Datos!W10)/Datos!W10," - ")</f>
        <v>0.30769230769230771</v>
      </c>
      <c r="G10" s="516">
        <f>IF(ISNUMBER((Datos!N10-Datos!X10)/Datos!X10),(Datos!N10-Datos!X10)/Datos!X10," - ")</f>
        <v>-0.35714285714285715</v>
      </c>
      <c r="H10" s="514">
        <f>IF(ISNUMBER(((NºAsuntos!G10/NºAsuntos!E10)-Datos!BD10)/Datos!BD10),((NºAsuntos!G10/NºAsuntos!E10)-Datos!BD10)/Datos!BD10," - ")</f>
        <v>-0.23407407407407407</v>
      </c>
      <c r="I10" s="515">
        <f>IF(ISNUMBER(((NºAsuntos!I10/NºAsuntos!G10)-Datos!BE10)/Datos!BE10),((NºAsuntos!I10/NºAsuntos!G10)-Datos!BE10)/Datos!BE10," - ")</f>
        <v>0.15954244431065609</v>
      </c>
      <c r="J10" s="521">
        <f>IF(ISNUMBER((('Resol  Asuntos'!D10/NºAsuntos!G10)-Datos!BF10)/Datos!BF10),(('Resol  Asuntos'!D10/NºAsuntos!G10)-Datos!BF10)/Datos!BF10," - ")</f>
        <v>6.9930069930069921E-2</v>
      </c>
      <c r="K10" s="522">
        <f>IF(ISNUMBER((((NºAsuntos!C10+NºAsuntos!E10)/NºAsuntos!G10)-Datos!BG10)/Datos!BG10),(((NºAsuntos!C10+NºAsuntos!E10)/NºAsuntos!G10)-Datos!BG10)/Datos!BG10," - ")</f>
        <v>0.12882839086047632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7.2442120985810307E-2</v>
      </c>
      <c r="C14" s="1152">
        <f>IF(ISNUMBER(
   IF(J_V="SI",(Datos!J14-Datos!T14)/Datos!T14,(Datos!J14+Datos!Z14-(Datos!T14+Datos!AH14))/(Datos!T14+Datos!AH14))
     ),IF(J_V="SI",(Datos!J14-Datos!T14)/Datos!T14,(Datos!J14+Datos!Z14-(Datos!T14+Datos!AH14))/(Datos!T14+Datos!AH14))," - ")</f>
        <v>0.45202193283070596</v>
      </c>
      <c r="D14" s="1152">
        <f>IF(ISNUMBER(
   IF(J_V="SI",(Datos!K14-Datos!U14)/Datos!U14,(Datos!K14+Datos!AA14-(Datos!U14+Datos!AI14))/(Datos!U14+Datos!AI14))
     ),IF(J_V="SI",(Datos!K14-Datos!U14)/Datos!U14,(Datos!K14+Datos!AA14-(Datos!U14+Datos!AI14))/(Datos!U14+Datos!AI14))," - ")</f>
        <v>3.7368746139592339E-2</v>
      </c>
      <c r="E14" s="1152">
        <f>IF(ISNUMBER(
   IF(J_V="SI",(Datos!L14-Datos!V14)/Datos!V14,(Datos!L14+Datos!AB14-(Datos!V14+Datos!AJ14))/(Datos!V14+Datos!AJ14))
     ),IF(J_V="SI",(Datos!L14-Datos!V14)/Datos!V14,(Datos!L14+Datos!AB14-(Datos!V14+Datos!AJ14))/(Datos!V14+Datos!AJ14))," - ")</f>
        <v>0.27714561234329799</v>
      </c>
      <c r="F14" s="1153">
        <f>IF(ISNUMBER((Datos!M14-Datos!W14)/Datos!W14),(Datos!M14-Datos!W14)/Datos!W14," - ")</f>
        <v>6.25E-2</v>
      </c>
      <c r="G14" s="1154">
        <f>IF(ISNUMBER((Datos!N14-Datos!X14)/Datos!X14),(Datos!N14-Datos!X14)/Datos!X14," - ")</f>
        <v>-5.8895705521472393E-2</v>
      </c>
      <c r="H14" s="1154">
        <f>IF(ISNUMBER(((NºAsuntos!G14/NºAsuntos!E14)-Datos!BD14)/Datos!BD14),((NºAsuntos!G14/NºAsuntos!E14)-Datos!BD14)/Datos!BD14," - ")</f>
        <v>-0.28556950643489948</v>
      </c>
      <c r="I14" s="1154">
        <f>IF(ISNUMBER(((NºAsuntos!I14/NºAsuntos!G14)-Datos!BE14)/Datos!BE14),((NºAsuntos!I14/NºAsuntos!G14)-Datos!BE14)/Datos!BE14," - ")</f>
        <v>0.23113947388139297</v>
      </c>
      <c r="J14" s="1154">
        <f>IF(ISNUMBER((('Resol  Asuntos'!D14/NºAsuntos!G14)-Datos!BF14)/Datos!BF14),(('Resol  Asuntos'!D14/NºAsuntos!G14)-Datos!BF14)/Datos!BF14," - ")</f>
        <v>-0.61772290746153335</v>
      </c>
      <c r="K14" s="1154">
        <f>IF(ISNUMBER((((NºAsuntos!C14+NºAsuntos!E14)/NºAsuntos!G14)-Datos!BG14)/Datos!BG14),(((NºAsuntos!C14+NºAsuntos!E14)/NºAsuntos!G14)-Datos!BG14)/Datos!BG14," - ")</f>
        <v>0.1628545047226278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-9.7516930022573362E-2</v>
      </c>
      <c r="C16" s="515">
        <f>IF(ISNUMBER(
   IF(D_I="SI",(Datos!J16-Datos!T16)/Datos!T16,(Datos!J16+Datos!AD16-(Datos!T16+Datos!AL16))/(Datos!T16+Datos!AL16))
     ),IF(D_I="SI",(Datos!J16-Datos!T16)/Datos!T16,(Datos!J16+Datos!AD16-(Datos!T16+Datos!AL16))/(Datos!T16+Datos!AL16))," - ")</f>
        <v>-7.7066965955854841E-2</v>
      </c>
      <c r="D16" s="515">
        <f>IF(ISNUMBER(
   IF(D_I="SI",(Datos!K16-Datos!U16)/Datos!U16,(Datos!K16+Datos!AE16-(Datos!U16+Datos!AM16))/(Datos!U16+Datos!AM16))
     ),IF(D_I="SI",(Datos!K16-Datos!U16)/Datos!U16,(Datos!K16+Datos!AE16-(Datos!U16+Datos!AM16))/(Datos!U16+Datos!AM16))," - ")</f>
        <v>-0.1060875756496974</v>
      </c>
      <c r="E16" s="515">
        <f>IF(ISNUMBER(
   IF(D_I="SI",(Datos!L16-Datos!V16)/Datos!V16,(Datos!L16+Datos!AF16-(Datos!V16+Datos!AN16))/(Datos!V16+Datos!AN16))
     ),IF(D_I="SI",(Datos!L16-Datos!V16)/Datos!V16,(Datos!L16+Datos!AF16-(Datos!V16+Datos!AN16))/(Datos!V16+Datos!AN16))," - ")</f>
        <v>-9.0783410138248852E-2</v>
      </c>
      <c r="F16" s="515">
        <f>IF(ISNUMBER((Datos!M16-Datos!W16)/Datos!W16),(Datos!M16-Datos!W16)/Datos!W16," - ")</f>
        <v>0.41714285714285715</v>
      </c>
      <c r="G16" s="516">
        <f>IF(ISNUMBER((Datos!N16-Datos!X16)/Datos!X16),(Datos!N16-Datos!X16)/Datos!X16," - ")</f>
        <v>-0.19648093841642228</v>
      </c>
      <c r="H16" s="514">
        <f>IF(ISNUMBER(((NºAsuntos!G16/NºAsuntos!E16)-Datos!BD16)/Datos!BD16),((NºAsuntos!G16/NºAsuntos!E16)-Datos!BD16)/Datos!BD16," - ")</f>
        <v>-3.1443895302651445E-2</v>
      </c>
      <c r="I16" s="515">
        <f>IF(ISNUMBER(((NºAsuntos!I16/NºAsuntos!G16)-Datos!BE16)/Datos!BE16),((NºAsuntos!I16/NºAsuntos!G16)-Datos!BE16)/Datos!BE16," - ")</f>
        <v>1.7120430474575534E-2</v>
      </c>
      <c r="J16" s="521">
        <f>IF(ISNUMBER((('Resol  Asuntos'!D16/NºAsuntos!G16)-Datos!BF16)/Datos!BF16),(('Resol  Asuntos'!D16/NºAsuntos!G16)-Datos!BF16)/Datos!BF16," - ")</f>
        <v>0.58532627865961184</v>
      </c>
      <c r="K16" s="522">
        <f>IF(ISNUMBER((((NºAsuntos!C16+NºAsuntos!E16)/NºAsuntos!G16)-Datos!BG16)/Datos!BG16),(((NºAsuntos!C16+NºAsuntos!E16)/NºAsuntos!G16)-Datos!BG16)/Datos!BG16," - ")</f>
        <v>2.2098022383998082E-2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-0.28985507246376813</v>
      </c>
      <c r="C18" s="515">
        <f>IF(ISNUMBER(
   IF(D_I="SI",(Datos!J18-Datos!T18)/Datos!T18,(Datos!J18+Datos!AD18-(Datos!T18+Datos!AL18))/(Datos!T18+Datos!AL18))
     ),IF(D_I="SI",(Datos!J18-Datos!T18)/Datos!T18,(Datos!J18+Datos!AD18-(Datos!T18+Datos!AL18))/(Datos!T18+Datos!AL18))," - ")</f>
        <v>-1.8633540372670808E-2</v>
      </c>
      <c r="D18" s="515">
        <f>IF(ISNUMBER(
   IF(D_I="SI",(Datos!K18-Datos!U18)/Datos!U18,(Datos!K18+Datos!AE18-(Datos!U18+Datos!AM18))/(Datos!U18+Datos!AM18))
     ),IF(D_I="SI",(Datos!K18-Datos!U18)/Datos!U18,(Datos!K18+Datos!AE18-(Datos!U18+Datos!AM18))/(Datos!U18+Datos!AM18))," - ")</f>
        <v>-0.18095238095238095</v>
      </c>
      <c r="E18" s="515">
        <f>IF(ISNUMBER(
   IF(D_I="SI",(Datos!L18-Datos!V18)/Datos!V18,(Datos!L18+Datos!AF18-(Datos!V18+Datos!AN18))/(Datos!V18+Datos!AN18))
     ),IF(D_I="SI",(Datos!L18-Datos!V18)/Datos!V18,(Datos!L18+Datos!AF18-(Datos!V18+Datos!AN18))/(Datos!V18+Datos!AN18))," - ")</f>
        <v>-0.15822784810126583</v>
      </c>
      <c r="F18" s="515">
        <f>IF(ISNUMBER((Datos!M18-Datos!W18)/Datos!W18),(Datos!M18-Datos!W18)/Datos!W18," - ")</f>
        <v>-0.15625</v>
      </c>
      <c r="G18" s="516">
        <f>IF(ISNUMBER((Datos!N18-Datos!X18)/Datos!X18),(Datos!N18-Datos!X18)/Datos!X18," - ")</f>
        <v>0.18518518518518517</v>
      </c>
      <c r="H18" s="514">
        <f>IF(ISNUMBER(((NºAsuntos!G18/NºAsuntos!E18)-Datos!BD18)/Datos!BD18),((NºAsuntos!G18/NºAsuntos!E18)-Datos!BD18)/Datos!BD18," - ")</f>
        <v>-0.16540084388185652</v>
      </c>
      <c r="I18" s="515">
        <f>IF(ISNUMBER(((NºAsuntos!I18/NºAsuntos!G18)-Datos!BE18)/Datos!BE18),((NºAsuntos!I18/NºAsuntos!G18)-Datos!BE18)/Datos!BE18," - ")</f>
        <v>2.7745069178687142E-2</v>
      </c>
      <c r="J18" s="521">
        <f>IF(ISNUMBER((('Resol  Asuntos'!D18/NºAsuntos!G18)-Datos!BF18)/Datos!BF18),(('Resol  Asuntos'!D18/NºAsuntos!G18)-Datos!BF18)/Datos!BF18," - ")</f>
        <v>3.0159883720930147E-2</v>
      </c>
      <c r="K18" s="522">
        <f>IF(ISNUMBER((((NºAsuntos!C18+NºAsuntos!E18)/NºAsuntos!G18)-Datos!BG18)/Datos!BG18),(((NºAsuntos!C18+NºAsuntos!E18)/NºAsuntos!G18)-Datos!BG18)/Datos!BG18," - ")</f>
        <v>1.1912285136501544E-2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-0.11367380560131796</v>
      </c>
      <c r="C23" s="1152">
        <f>IF(ISNUMBER(
   IF(Criterios!B14="SI",(Datos!J23-Datos!T23)/Datos!T23,(Datos!J23+Datos!AD23-(Datos!T23+Datos!AL23))/(Datos!T23+Datos!AL23))
     ),IF(Criterios!B14="SI",(Datos!J23-Datos!T23)/Datos!T23,(Datos!J23+Datos!AD23-(Datos!T23+Datos!AL23))/(Datos!T23+Datos!AL23))," - ")</f>
        <v>-7.3747353563867329E-2</v>
      </c>
      <c r="D23" s="1152">
        <f>IF(ISNUMBER(
   IF(Criterios!B14="SI",(Datos!K23-Datos!U23)/Datos!U23,(Datos!K23+Datos!AE23-(Datos!U23+Datos!AM23))/(Datos!U23+Datos!AM23))
     ),IF(Criterios!B14="SI",(Datos!K23-Datos!U23)/Datos!U23,(Datos!K23+Datos!AE23-(Datos!U23+Datos!AM23))/(Datos!U23+Datos!AM23))," - ")</f>
        <v>-0.11129513083802584</v>
      </c>
      <c r="E23" s="1152">
        <f>IF(ISNUMBER(
   IF(Criterios!B14="SI",(Datos!L23-Datos!V23)/Datos!V23,(Datos!L23+Datos!AF23-(Datos!V23+Datos!AN23))/(Datos!V23+Datos!AN23))
     ),IF(Criterios!B14="SI",(Datos!L23-Datos!V23)/Datos!V23,(Datos!L23+Datos!AF23-(Datos!V23+Datos!AN23))/(Datos!V23+Datos!AN23))," - ")</f>
        <v>-9.5115681233933158E-2</v>
      </c>
      <c r="F23" s="1153">
        <f>IF(ISNUMBER((Datos!M23-Datos!W23)/Datos!W23),(Datos!M23-Datos!W23)/Datos!W23," - ")</f>
        <v>0.32850241545893721</v>
      </c>
      <c r="G23" s="1154">
        <f>IF(ISNUMBER((Datos!N23-Datos!X23)/Datos!X23),(Datos!N23-Datos!X23)/Datos!X23," - ")</f>
        <v>-0.17374517374517376</v>
      </c>
      <c r="H23" s="1154">
        <f>IF(ISNUMBER(((NºAsuntos!G23/NºAsuntos!E23)-Datos!BD23)/Datos!BD23),((NºAsuntos!G23/NºAsuntos!E23)-Datos!BD23)/Datos!BD23," - ")</f>
        <v>-4.0537295540939045E-2</v>
      </c>
      <c r="I23" s="1154">
        <f>IF(ISNUMBER(((NºAsuntos!I23/NºAsuntos!G23)-Datos!BE23)/Datos!BE23),((NºAsuntos!I23/NºAsuntos!G23)-Datos!BE23)/Datos!BE23," - ")</f>
        <v>1.8205649778142364E-2</v>
      </c>
      <c r="J23" s="1154">
        <f>IF(ISNUMBER((('Resol  Asuntos'!D23/NºAsuntos!G23)-Datos!BF23)/Datos!BF23),(('Resol  Asuntos'!D23/NºAsuntos!G23)-Datos!BF23)/Datos!BF23," - ")</f>
        <v>0.49487468962748088</v>
      </c>
      <c r="K23" s="1154">
        <f>IF(ISNUMBER((((NºAsuntos!C23+NºAsuntos!E23)/NºAsuntos!G23)-Datos!BG23)/Datos!BG23),(((NºAsuntos!C23+NºAsuntos!E23)/NºAsuntos!G23)-Datos!BG23)/Datos!BG23," - ")</f>
        <v>2.151991514913006E-2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1.4388489208633094E-2</v>
      </c>
      <c r="C31" s="1092">
        <f>IF(ISNUMBER(
   IF(J_V="SI",(Datos!J31-Datos!T31)/Datos!T31,(Datos!J31+Datos!Z31-(Datos!T31+Datos!AH31))/(Datos!T31+Datos!AH31))
     ),IF(J_V="SI",(Datos!J31-Datos!T31)/Datos!T31,(Datos!J31+Datos!Z31-(Datos!T31+Datos!AH31))/(Datos!T31+Datos!AH31))," - ")</f>
        <v>0.19297635605006955</v>
      </c>
      <c r="D31" s="1092">
        <f>IF(ISNUMBER(
   IF(J_V="SI",(Datos!K31-Datos!U31)/Datos!U31,(Datos!K31+Datos!AA31-(Datos!U31+Datos!AI31))/(Datos!U31+Datos!AI31))
     ),IF(J_V="SI",(Datos!K31-Datos!U31)/Datos!U31,(Datos!K31+Datos!AA31-(Datos!U31+Datos!AI31))/(Datos!U31+Datos!AI31))," - ")</f>
        <v>-3.4361515103084543E-2</v>
      </c>
      <c r="E31" s="1092">
        <f>IF(ISNUMBER(
   IF(J_V="SI",(Datos!L31-Datos!V31)/Datos!V31,(Datos!L31+Datos!AB31-(Datos!V31+Datos!AJ31))/(Datos!V31+Datos!AJ31))
     ),IF(J_V="SI",(Datos!L31-Datos!V31)/Datos!V31,(Datos!L31+Datos!AB31-(Datos!V31+Datos!AJ31))/(Datos!V31+Datos!AJ31))," - ")</f>
        <v>0.16159063705279958</v>
      </c>
      <c r="F31" s="1093">
        <f>IF(ISNUMBER((Datos!M31-Datos!W31)/Datos!W31),(Datos!M31-Datos!W31)/Datos!W31," - ")</f>
        <v>0.17025440313111545</v>
      </c>
      <c r="G31" s="1094">
        <f>IF(ISNUMBER((Datos!N31-Datos!X31)/Datos!X31),(Datos!N31-Datos!X31)/Datos!X31," - ")</f>
        <v>-0.1193726401394133</v>
      </c>
      <c r="H31" s="1095">
        <f>IF(ISNUMBER((Tasas!B31-Datos!BD31)/Datos!BD31),(Tasas!B31-Datos!BD31)/Datos!BD31," - ")</f>
        <v>-0.19056360170109912</v>
      </c>
      <c r="I31" s="1096">
        <f>IF(ISNUMBER((Tasas!C31-Datos!BE31)/Datos!BE31),(Tasas!C31-Datos!BE31)/Datos!BE31," - ")</f>
        <v>0.2029249612776178</v>
      </c>
      <c r="J31" s="1097">
        <f>IF(ISNUMBER((Tasas!D31-Datos!BF31)/Datos!BF31),(Tasas!D31-Datos!BF31)/Datos!BF31," - ")</f>
        <v>-0.39375489212970455</v>
      </c>
      <c r="K31" s="1097">
        <f>IF(ISNUMBER((Tasas!E31-Datos!BG31)/Datos!BG31),(Tasas!E31-Datos!BG31)/Datos!BG31," - ")</f>
        <v>0.12907448784434883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NrHFvew+O6G6utOPRosNQRIZqedi01/GpyOCT5nG+qSXvrw16vL4zlxDZdkNy7lFHYbxpNT3QUbg4AJDBaVig==" saltValue="djZIPNdg/RNiLtN1dHAs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TELDE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0.79600673562665381</v>
      </c>
      <c r="C9" s="498">
        <f>IF(ISNUMBER(NºAsuntos!I9/NºAsuntos!G9),NºAsuntos!I9/NºAsuntos!G9," - ")</f>
        <v>1.9362345119371411</v>
      </c>
      <c r="D9" s="499">
        <f>IF(ISNUMBER('Resol  Asuntos'!D9/NºAsuntos!G9),'Resol  Asuntos'!D9/NºAsuntos!G9," - ")</f>
        <v>0.19008763977032336</v>
      </c>
      <c r="E9" s="500">
        <f>IF(ISNUMBER((NºAsuntos!C9+NºAsuntos!E9)/NºAsuntos!G9),(NºAsuntos!C9+NºAsuntos!E9)/NºAsuntos!G9," - ")</f>
        <v>2.9362345119371409</v>
      </c>
      <c r="G9" s="523"/>
    </row>
    <row r="10" spans="1:7">
      <c r="A10" s="450" t="str">
        <f>Datos!A10</f>
        <v>Jdos. Violencia contra la mujer</v>
      </c>
      <c r="B10" s="497">
        <f>IF(ISNUMBER(NºAsuntos!G10/NºAsuntos!E10),NºAsuntos!G10/NºAsuntos!E10," - ")</f>
        <v>0.58666666666666667</v>
      </c>
      <c r="C10" s="498">
        <f>IF(ISNUMBER(NºAsuntos!I10/NºAsuntos!G10),NºAsuntos!I10/NºAsuntos!G10," - ")</f>
        <v>4.8636363636363633</v>
      </c>
      <c r="D10" s="499">
        <f>IF(ISNUMBER('Resol  Asuntos'!D10/NºAsuntos!G10),'Resol  Asuntos'!D10/NºAsuntos!G10," - ")</f>
        <v>0.38636363636363635</v>
      </c>
      <c r="E10" s="500">
        <f>IF(ISNUMBER((NºAsuntos!C10+NºAsuntos!E10)/NºAsuntos!G10),(NºAsuntos!C10+NºAsuntos!E10)/NºAsuntos!G10," - ")</f>
        <v>5.8636363636363633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v>
      </c>
      <c r="C12" s="498">
        <f>IF(ISNUMBER(NºAsuntos!I12/NºAsuntos!G12),NºAsuntos!I12/NºAsuntos!G12," - ")</f>
        <v>0.16666666666666666</v>
      </c>
      <c r="D12" s="499">
        <f>IF(ISNUMBER('Resol  Asuntos'!D12/NºAsuntos!G12),'Resol  Asuntos'!D12/NºAsuntos!G12," - ")</f>
        <v>0</v>
      </c>
      <c r="E12" s="500">
        <f>IF(ISNUMBER((NºAsuntos!C12+NºAsuntos!E12)/NºAsuntos!G12),(NºAsuntos!C12+NºAsuntos!E12)/NºAsuntos!G12," - ")</f>
        <v>1.1666666666666667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0.79277790889780508</v>
      </c>
      <c r="C14" s="1156">
        <f>IF(ISNUMBER(NºAsuntos!I14/NºAsuntos!G14),NºAsuntos!I14/NºAsuntos!G14," - ")</f>
        <v>1.9714200654956833</v>
      </c>
      <c r="D14" s="1157">
        <f>IF(ISNUMBER('Resol  Asuntos'!D14/NºAsuntos!G14),'Resol  Asuntos'!D14/NºAsuntos!G14," - ")</f>
        <v>0.19231914260196487</v>
      </c>
      <c r="E14" s="1158">
        <f>IF(ISNUMBER((NºAsuntos!C14+NºAsuntos!E14)/NºAsuntos!G14),(NºAsuntos!C14+NºAsuntos!E14)/NºAsuntos!G14," - ")</f>
        <v>2.9714200654956833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1.0178354276449129</v>
      </c>
      <c r="C16" s="498">
        <f>IF(ISNUMBER(NºAsuntos!I16/NºAsuntos!G16),NºAsuntos!I16/NºAsuntos!G16," - ")</f>
        <v>0.78574273197929112</v>
      </c>
      <c r="D16" s="499">
        <f>IF(ISNUMBER('Resol  Asuntos'!D16/NºAsuntos!G16),'Resol  Asuntos'!D16/NºAsuntos!G16," - ")</f>
        <v>0.19753086419753085</v>
      </c>
      <c r="E16" s="500">
        <f>IF(ISNUMBER((NºAsuntos!C16+NºAsuntos!E16)/NºAsuntos!G16),(NºAsuntos!C16+NºAsuntos!E16)/NºAsuntos!G16," - ")</f>
        <v>1.778574273197929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1.0886075949367089</v>
      </c>
      <c r="C18" s="498">
        <f>IF(ISNUMBER(NºAsuntos!I18/NºAsuntos!G18),NºAsuntos!I18/NºAsuntos!G18," - ")</f>
        <v>0.77325581395348841</v>
      </c>
      <c r="D18" s="499">
        <f>IF(ISNUMBER('Resol  Asuntos'!D18/NºAsuntos!G18),'Resol  Asuntos'!D18/NºAsuntos!G18," - ")</f>
        <v>0.31395348837209303</v>
      </c>
      <c r="E18" s="500">
        <f>IF(ISNUMBER((NºAsuntos!C18+NºAsuntos!E18)/NºAsuntos!G18),(NºAsuntos!C18+NºAsuntos!E18)/NºAsuntos!G18," - ")</f>
        <v>1.7732558139534884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1.0220952380952382</v>
      </c>
      <c r="C23" s="1156">
        <f>IF(ISNUMBER(NºAsuntos!I23/NºAsuntos!G23),NºAsuntos!I23/NºAsuntos!G23," - ")</f>
        <v>0.7871785314945956</v>
      </c>
      <c r="D23" s="1159">
        <f>IF(ISNUMBER('Resol  Asuntos'!D23/NºAsuntos!G23),'Resol  Asuntos'!D23/NºAsuntos!G23," - ")</f>
        <v>0.20499440924338427</v>
      </c>
      <c r="E23" s="1158">
        <f>IF(ISNUMBER((NºAsuntos!C23+NºAsuntos!E23)/NºAsuntos!G23),(NºAsuntos!C23+NºAsuntos!E23)/NºAsuntos!G23," - ")</f>
        <v>1.7804696235557211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0.88050131157097056</v>
      </c>
      <c r="C31" s="1099">
        <f>IF(ISNUMBER(NºAsuntos!I31/NºAsuntos!G31),NºAsuntos!I31/NºAsuntos!G31," - ")</f>
        <v>1.4455478318437602</v>
      </c>
      <c r="D31" s="1100">
        <f>IF(ISNUMBER('Resol  Asuntos'!D31/NºAsuntos!G31),'Resol  Asuntos'!D31/NºAsuntos!G31," - ")</f>
        <v>0.19794769943727242</v>
      </c>
      <c r="E31" s="1101">
        <f>IF(ISNUMBER((NºAsuntos!C31+NºAsuntos!E31)/NºAsuntos!G31),(NºAsuntos!C31+NºAsuntos!E31)/NºAsuntos!G31," - ")</f>
        <v>2.4425686858656075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nH6mVk8Qxp/rWJj/AGRUgdBsmm6RGRAgR6dt061qbrbQOASgaHwgsU09x62TMwp7HZORz+WQG790yfSCx/FcQ==" saltValue="gMYLeSQTyQ5u3dscsG5I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629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522</v>
      </c>
      <c r="Y9" s="374">
        <f>SUM(W9:X9)</f>
        <v>522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8497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629</v>
      </c>
      <c r="AJ9" s="243" t="str">
        <f>IF(ISNUMBER(Datos!BW9),Datos!BW9," - ")</f>
        <v xml:space="preserve"> - </v>
      </c>
      <c r="AK9" s="242" t="str">
        <f>IF(ISNUMBER(Datos!BX9),Datos!BX9," - ")</f>
        <v xml:space="preserve"> - </v>
      </c>
      <c r="AL9" s="266">
        <f>IF(ISNUMBER(NºAsuntos!G9/NºAsuntos!E9),NºAsuntos!G9/NºAsuntos!E9," - ")</f>
        <v>0.79600673562665381</v>
      </c>
      <c r="AM9" s="284">
        <f>IF(ISNUMBER(((NºAsuntos!I9/NºAsuntos!G9)*11)/factor_trimestre),((NºAsuntos!I9/NºAsuntos!G9)*11)/factor_trimestre," - ")</f>
        <v>5.8087035358114232</v>
      </c>
      <c r="AN9" s="267">
        <f>IF(ISNUMBER('Resol  Asuntos'!D9/NºAsuntos!G9),'Resol  Asuntos'!D9/NºAsuntos!G9," - ")</f>
        <v>0.19008763977032336</v>
      </c>
      <c r="AO9" s="268">
        <f>IF(ISNUMBER((NºAsuntos!C9+NºAsuntos!E9)/NºAsuntos!G9),(NºAsuntos!C9+NºAsuntos!E9)/NºAsuntos!G9," - ")</f>
        <v>2.9362345119371409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183</v>
      </c>
      <c r="G10" s="373">
        <f>IF(ISNUMBER(Datos!I10),Datos!I10," - ")</f>
        <v>183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1</v>
      </c>
      <c r="Y10" s="374">
        <f t="shared" ref="Y10:Y13" si="0">SUM(W10:X10)</f>
        <v>45</v>
      </c>
      <c r="Z10" s="375" t="str">
        <f>IF(ISNUMBER(Datos!CC10),Datos!CC10," - ")</f>
        <v xml:space="preserve"> - </v>
      </c>
      <c r="AA10" s="372">
        <f>IF(ISNUMBER(Datos!L10),Datos!L10,"-")</f>
        <v>214</v>
      </c>
      <c r="AB10" s="374">
        <f>IF(ISNUMBER(Datos!R10),Datos!R10," - ")</f>
        <v>92</v>
      </c>
      <c r="AC10" s="374">
        <f t="shared" ref="AC10:AC13" si="1">IF(ISNUMBER(AA10+AB10),AA10+AB10," - ")</f>
        <v>306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0.58666666666666667</v>
      </c>
      <c r="AM10" s="284">
        <f>IF(ISNUMBER(((NºAsuntos!I10/NºAsuntos!G10)*11)/factor_trimestre),((NºAsuntos!I10/NºAsuntos!G10)*11)/factor_trimestre," - ")</f>
        <v>14.590909090909092</v>
      </c>
      <c r="AN10" s="267">
        <f>IF(ISNUMBER('Resol  Asuntos'!D10/NºAsuntos!G10),'Resol  Asuntos'!D10/NºAsuntos!G10," - ")</f>
        <v>0.38636363636363635</v>
      </c>
      <c r="AO10" s="268">
        <f>IF(ISNUMBER((NºAsuntos!C10+NºAsuntos!E10)/NºAsuntos!G10),(NºAsuntos!C10+NºAsuntos!E10)/NºAsuntos!G10," - ")</f>
        <v>5.8636363636363633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1.2</v>
      </c>
      <c r="AM12" s="284">
        <f>IF(ISNUMBER(((NºAsuntos!I12/NºAsuntos!G12)*11)/factor_trimestre),((NºAsuntos!I12/NºAsuntos!G12)*11)/factor_trimestre," - ")</f>
        <v>0.5</v>
      </c>
      <c r="AN12" s="267">
        <f>IF(ISNUMBER('Resol  Asuntos'!D12/NºAsuntos!G12),'Resol  Asuntos'!D12/NºAsuntos!G12," - ")</f>
        <v>0</v>
      </c>
      <c r="AO12" s="268">
        <f>IF(ISNUMBER((NºAsuntos!C12+NºAsuntos!E12)/NºAsuntos!G12),(NºAsuntos!C12+NºAsuntos!E12)/NºAsuntos!G12," - ")</f>
        <v>1.1666666666666667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183</v>
      </c>
      <c r="G14" s="1163">
        <f t="shared" si="5"/>
        <v>183</v>
      </c>
      <c r="H14" s="1162">
        <f t="shared" si="5"/>
        <v>0</v>
      </c>
      <c r="I14" s="1164">
        <f t="shared" si="5"/>
        <v>0</v>
      </c>
      <c r="J14" s="1164">
        <f t="shared" si="5"/>
        <v>0</v>
      </c>
      <c r="K14" s="1164">
        <f t="shared" si="5"/>
        <v>0</v>
      </c>
      <c r="L14" s="1164">
        <f t="shared" si="5"/>
        <v>635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528</v>
      </c>
      <c r="Y14" s="1165">
        <f t="shared" si="6"/>
        <v>572</v>
      </c>
      <c r="Z14" s="1165">
        <f t="shared" si="6"/>
        <v>0</v>
      </c>
      <c r="AA14" s="1165">
        <f t="shared" si="6"/>
        <v>214</v>
      </c>
      <c r="AB14" s="1165">
        <f t="shared" si="6"/>
        <v>9711</v>
      </c>
      <c r="AC14" s="1165">
        <f t="shared" si="6"/>
        <v>306</v>
      </c>
      <c r="AD14" s="1165">
        <f t="shared" si="6"/>
        <v>0</v>
      </c>
      <c r="AE14" s="1169">
        <f t="shared" si="6"/>
        <v>0</v>
      </c>
      <c r="AF14" s="1162">
        <f t="shared" si="6"/>
        <v>0</v>
      </c>
      <c r="AG14" s="1170">
        <f t="shared" si="6"/>
        <v>0</v>
      </c>
      <c r="AH14" s="1167">
        <f t="shared" si="6"/>
        <v>0</v>
      </c>
      <c r="AI14" s="1162">
        <f t="shared" si="6"/>
        <v>646</v>
      </c>
      <c r="AJ14" s="1164">
        <f t="shared" si="6"/>
        <v>0</v>
      </c>
      <c r="AK14" s="1167">
        <f>SUBTOTAL(9,AK9:AK13)</f>
        <v>0</v>
      </c>
      <c r="AL14" s="1171">
        <f>IF(ISNUMBER(NºAsuntos!G14/NºAsuntos!E14),NºAsuntos!G14/NºAsuntos!E14," - ")</f>
        <v>0.79277790889780508</v>
      </c>
      <c r="AM14" s="1171">
        <f>IF(ISNUMBER(((NºAsuntos!I14/NºAsuntos!G14)*11)/factor_trimestre),((NºAsuntos!I14/NºAsuntos!G14)*11)/factor_trimestre," - ")</f>
        <v>5.9142601964870503</v>
      </c>
      <c r="AN14" s="1172">
        <f>IF(ISNUMBER('Resol  Asuntos'!D14/NºAsuntos!G14),'Resol  Asuntos'!D14/NºAsuntos!G14," - ")</f>
        <v>0.19231914260196487</v>
      </c>
      <c r="AO14" s="1173">
        <f>IF(ISNUMBER((NºAsuntos!C14+NºAsuntos!E14)/NºAsuntos!G14),(NºAsuntos!C14+NºAsuntos!E14)/NºAsuntos!G14," - ")</f>
        <v>2.9714200654956833</v>
      </c>
      <c r="AP14" s="1174" t="str">
        <f t="shared" si="2"/>
        <v xml:space="preserve"> - </v>
      </c>
      <c r="AQ14" s="1174">
        <f>IF(ISNUMBER((H14-W14+K14)/(F14)),(H14-W14+K14)/(F14)," - ")</f>
        <v>-0.24043715846994534</v>
      </c>
      <c r="AR14" s="1175">
        <f>IF(ISNUMBER((Datos!P14-Datos!Q14)/(Datos!R14-Datos!P14+Datos!Q14)),(Datos!P14-Datos!Q14)/(Datos!R14-Datos!P14+Datos!Q14)," - ")</f>
        <v>1.1141191170345689E-2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2017</v>
      </c>
      <c r="G16" s="373">
        <f>IF(ISNUMBER(IF(D_I="SI",Datos!I16,Datos!I16+Datos!AC16)),IF(D_I="SI",Datos!I16,Datos!I16+Datos!AC16)," - ")</f>
        <v>1999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2511</v>
      </c>
      <c r="X16" s="240">
        <f>IF(ISNUMBER(Datos!Q16),Datos!Q16," - ")</f>
        <v>85</v>
      </c>
      <c r="Y16" s="374">
        <f>SUM(W16)</f>
        <v>2511</v>
      </c>
      <c r="Z16" s="375" t="str">
        <f>IF(ISNUMBER(Datos!CC16),Datos!CC16," - ")</f>
        <v xml:space="preserve"> - </v>
      </c>
      <c r="AA16" s="372">
        <f>IF(ISNUMBER(IF(D_I="SI",Datos!L16,Datos!L16+Datos!AF16)),IF(D_I="SI",Datos!L16,Datos!L16+Datos!AF16)," - ")</f>
        <v>1973</v>
      </c>
      <c r="AB16" s="374">
        <f>IF(ISNUMBER(Datos!R16),Datos!R16," - ")</f>
        <v>373</v>
      </c>
      <c r="AC16" s="374">
        <f t="shared" ref="AC16:AC22" si="8">IF(ISNUMBER(AA16+AB16),AA16+AB16," - ")</f>
        <v>2346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496</v>
      </c>
      <c r="AJ16" s="245" t="str">
        <f>IF(ISNUMBER(Datos!BW16),Datos!BW16," - ")</f>
        <v xml:space="preserve"> - </v>
      </c>
      <c r="AK16" s="246" t="str">
        <f>IF(ISNUMBER(Datos!BX16),Datos!BX16," - ")</f>
        <v xml:space="preserve"> - </v>
      </c>
      <c r="AL16" s="266">
        <f>IF(ISNUMBER(NºAsuntos!G16/NºAsuntos!E16),NºAsuntos!G16/NºAsuntos!E16," - ")</f>
        <v>1.0178354276449129</v>
      </c>
      <c r="AM16" s="284">
        <f>IF(ISNUMBER(((NºAsuntos!I16/NºAsuntos!G16)*11)/factor_trimestre),((NºAsuntos!I16/NºAsuntos!G16)*11)/factor_trimestre," - ")</f>
        <v>2.3572281959378736</v>
      </c>
      <c r="AN16" s="267">
        <f>IF(ISNUMBER('Resol  Asuntos'!D16/NºAsuntos!G16),'Resol  Asuntos'!D16/NºAsuntos!G16," - ")</f>
        <v>0.19753086419753085</v>
      </c>
      <c r="AO16" s="268">
        <f>IF(ISNUMBER((NºAsuntos!C16+NºAsuntos!E16)/NºAsuntos!G16),(NºAsuntos!C16+NºAsuntos!E16)/NºAsuntos!G16," - ")</f>
        <v>1.778574273197929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6</v>
      </c>
      <c r="G17" s="373">
        <f>IF(ISNUMBER(IF(D_I="SI",Datos!I17,Datos!I17+Datos!AC17)),IF(D_I="SI",Datos!I17,Datos!I17+Datos!AC17)," - ")</f>
        <v>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1</v>
      </c>
      <c r="Y17" s="374">
        <f t="shared" ref="Y17:Y22" si="9">SUM(W17:X17)</f>
        <v>1</v>
      </c>
      <c r="Z17" s="375" t="str">
        <f>IF(ISNUMBER(Datos!CC17),Datos!CC17," - ")</f>
        <v xml:space="preserve"> - </v>
      </c>
      <c r="AA17" s="372">
        <f>IF(ISNUMBER(IF(D_I="SI",Datos!L17,Datos!L17+Datos!AF17)),IF(D_I="SI",Datos!L17,Datos!L17+Datos!AF17)," - ")</f>
        <v>6</v>
      </c>
      <c r="AB17" s="374">
        <f>IF(ISNUMBER(Datos!R17),Datos!R17," - ")</f>
        <v>3</v>
      </c>
      <c r="AC17" s="374">
        <f t="shared" si="8"/>
        <v>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172</v>
      </c>
      <c r="X18" s="240">
        <f>IF(ISNUMBER(Datos!Q18),Datos!Q18," - ")</f>
        <v>10</v>
      </c>
      <c r="Y18" s="374">
        <f t="shared" si="9"/>
        <v>182</v>
      </c>
      <c r="Z18" s="375" t="str">
        <f>IF(ISNUMBER(Datos!CC18),Datos!CC18," - ")</f>
        <v xml:space="preserve"> - </v>
      </c>
      <c r="AA18" s="372">
        <f>IF(ISNUMBER(Datos!L18),Datos!L18,"-")</f>
        <v>133</v>
      </c>
      <c r="AB18" s="374">
        <f>IF(ISNUMBER(Datos!R18),Datos!R18," - ")</f>
        <v>60</v>
      </c>
      <c r="AC18" s="374">
        <f t="shared" si="8"/>
        <v>193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1.0886075949367089</v>
      </c>
      <c r="AM18" s="284">
        <f>IF(ISNUMBER(((NºAsuntos!I18/NºAsuntos!G18)*11)/factor_trimestre),((NºAsuntos!I18/NºAsuntos!G18)*11)/factor_trimestre," - ")</f>
        <v>2.3197674418604652</v>
      </c>
      <c r="AN18" s="267">
        <f>IF(ISNUMBER('Resol  Asuntos'!D18/NºAsuntos!G18),'Resol  Asuntos'!D18/NºAsuntos!G18," - ")</f>
        <v>0.31395348837209303</v>
      </c>
      <c r="AO18" s="268">
        <f>IF(ISNUMBER((NºAsuntos!C18+NºAsuntos!E18)/NºAsuntos!G18),(NºAsuntos!C18+NºAsuntos!E18)/NºAsuntos!G18," - ")</f>
        <v>1.7732558139534884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2023</v>
      </c>
      <c r="G23" s="1163">
        <f>SUBTOTAL(9,G16:G22)</f>
        <v>2152</v>
      </c>
      <c r="H23" s="1162">
        <f t="shared" ref="H23:O23" si="13">SUBTOTAL(9,H15:H22)</f>
        <v>0</v>
      </c>
      <c r="I23" s="1164">
        <f t="shared" si="13"/>
        <v>0</v>
      </c>
      <c r="J23" s="1164">
        <f t="shared" si="13"/>
        <v>0</v>
      </c>
      <c r="K23" s="1164">
        <f t="shared" si="13"/>
        <v>0</v>
      </c>
      <c r="L23" s="1164">
        <f t="shared" si="13"/>
        <v>167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2683</v>
      </c>
      <c r="X23" s="1164">
        <f t="shared" si="14"/>
        <v>96</v>
      </c>
      <c r="Y23" s="1165">
        <f t="shared" si="14"/>
        <v>2694</v>
      </c>
      <c r="Z23" s="1165">
        <f t="shared" si="14"/>
        <v>0</v>
      </c>
      <c r="AA23" s="1165">
        <f t="shared" si="14"/>
        <v>2112</v>
      </c>
      <c r="AB23" s="1165">
        <f t="shared" si="14"/>
        <v>436</v>
      </c>
      <c r="AC23" s="1165">
        <f t="shared" si="14"/>
        <v>2548</v>
      </c>
      <c r="AD23" s="1165">
        <f t="shared" si="14"/>
        <v>0</v>
      </c>
      <c r="AE23" s="1169">
        <f t="shared" si="14"/>
        <v>0</v>
      </c>
      <c r="AF23" s="1162">
        <f t="shared" si="14"/>
        <v>0</v>
      </c>
      <c r="AG23" s="1170">
        <f t="shared" si="14"/>
        <v>0</v>
      </c>
      <c r="AH23" s="1167">
        <f t="shared" si="14"/>
        <v>0</v>
      </c>
      <c r="AI23" s="1162">
        <f t="shared" si="14"/>
        <v>550</v>
      </c>
      <c r="AJ23" s="1164">
        <f t="shared" si="14"/>
        <v>0</v>
      </c>
      <c r="AK23" s="1167">
        <f t="shared" si="14"/>
        <v>0</v>
      </c>
      <c r="AL23" s="1171">
        <f>IF(ISNUMBER(NºAsuntos!G23/NºAsuntos!E23),NºAsuntos!G23/NºAsuntos!E23," - ")</f>
        <v>1.0220952380952382</v>
      </c>
      <c r="AM23" s="1171">
        <f>IF(ISNUMBER(((NºAsuntos!I23/NºAsuntos!G23)*11)/factor_trimestre),((NºAsuntos!I23/NºAsuntos!G23)*11)/factor_trimestre," - ")</f>
        <v>2.361535594483787</v>
      </c>
      <c r="AN23" s="1172">
        <f>IF(ISNUMBER('Resol  Asuntos'!D23/NºAsuntos!G23),'Resol  Asuntos'!D23/NºAsuntos!G23," - ")</f>
        <v>0.20499440924338427</v>
      </c>
      <c r="AO23" s="1173">
        <f>IF(ISNUMBER((NºAsuntos!C23+NºAsuntos!E23)/NºAsuntos!G23),(NºAsuntos!C23+NºAsuntos!E23)/NºAsuntos!G23," - ")</f>
        <v>1.7804696235557211</v>
      </c>
      <c r="AP23" s="1174" t="str">
        <f t="shared" si="2"/>
        <v xml:space="preserve"> - </v>
      </c>
      <c r="AQ23" s="1174">
        <f>IF(ISNUMBER((H23-W23+K23)/(F23)),(H23-W23+K23)/(F23)," - ")</f>
        <v>-1.3262481463173506</v>
      </c>
      <c r="AR23" s="1175">
        <f>IF(ISNUMBER((Datos!P23-Datos!Q23)/(Datos!R23-Datos!P23+Datos!Q23)),(Datos!P23-Datos!Q23)/(Datos!R23-Datos!P23+Datos!Q23)," - ")</f>
        <v>0.19452054794520549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2206</v>
      </c>
      <c r="G31" s="1118">
        <f t="shared" si="20"/>
        <v>2335</v>
      </c>
      <c r="H31" s="1117">
        <f t="shared" si="20"/>
        <v>0</v>
      </c>
      <c r="I31" s="1119">
        <f t="shared" si="20"/>
        <v>0</v>
      </c>
      <c r="J31" s="1119">
        <f t="shared" si="20"/>
        <v>0</v>
      </c>
      <c r="K31" s="1180">
        <f t="shared" si="20"/>
        <v>0</v>
      </c>
      <c r="L31" s="1119">
        <f t="shared" si="20"/>
        <v>802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2727</v>
      </c>
      <c r="X31" s="1118">
        <f t="shared" si="21"/>
        <v>624</v>
      </c>
      <c r="Y31" s="1125">
        <f t="shared" si="21"/>
        <v>3266</v>
      </c>
      <c r="Z31" s="1125">
        <f t="shared" si="21"/>
        <v>0</v>
      </c>
      <c r="AA31" s="1125">
        <f t="shared" si="21"/>
        <v>2326</v>
      </c>
      <c r="AB31" s="1125">
        <f t="shared" si="21"/>
        <v>10147</v>
      </c>
      <c r="AC31" s="1125">
        <f t="shared" si="21"/>
        <v>2854</v>
      </c>
      <c r="AD31" s="1125">
        <f t="shared" si="21"/>
        <v>0</v>
      </c>
      <c r="AE31" s="1127">
        <f t="shared" si="21"/>
        <v>0</v>
      </c>
      <c r="AF31" s="1128">
        <f t="shared" si="21"/>
        <v>0</v>
      </c>
      <c r="AG31" s="1129">
        <f t="shared" si="21"/>
        <v>0</v>
      </c>
      <c r="AH31" s="1127">
        <f t="shared" si="21"/>
        <v>0</v>
      </c>
      <c r="AI31" s="1117">
        <f t="shared" si="21"/>
        <v>1196</v>
      </c>
      <c r="AJ31" s="1117">
        <f t="shared" si="21"/>
        <v>0</v>
      </c>
      <c r="AK31" s="1127">
        <f t="shared" si="21"/>
        <v>0</v>
      </c>
      <c r="AL31" s="1183">
        <f>IF(ISNUMBER(NºAsuntos!G31/NºAsuntos!E31),NºAsuntos!G31/NºAsuntos!E31," - ")</f>
        <v>0.88050131157097056</v>
      </c>
      <c r="AM31" s="1184">
        <f>IF(ISNUMBER(((NºAsuntos!I31/NºAsuntos!G31)*11)/factor_trimestre),((NºAsuntos!I31/NºAsuntos!G31)*11)/factor_trimestre," - ")</f>
        <v>4.3366434955312805</v>
      </c>
      <c r="AN31" s="1184">
        <f>IF(ISNUMBER('Resol  Asuntos'!D31/NºAsuntos!G31),'Resol  Asuntos'!D31/NºAsuntos!G31," - ")</f>
        <v>0.19794769943727242</v>
      </c>
      <c r="AO31" s="1185">
        <f>IF(ISNUMBER((NºAsuntos!C31+NºAsuntos!E31)/NºAsuntos!G31),(NºAsuntos!C31+NºAsuntos!E31)/NºAsuntos!G31," - ")</f>
        <v>2.4425686858656075</v>
      </c>
      <c r="AP31" s="1186" t="str">
        <f t="shared" si="2"/>
        <v xml:space="preserve"> - </v>
      </c>
      <c r="AQ31" s="1187">
        <f>IF(OR(ISNUMBER(FIND("01",Criterios!A8,1)),ISNUMBER(FIND("02",Criterios!A8,1)),ISNUMBER(FIND("03",Criterios!A8,1)),ISNUMBER(FIND("04",Criterios!A8,1))),(I31-W31+K31)/(F31-K31),(H31-W31+K31)/(F31-K31))</f>
        <v>-1.2361740707162285</v>
      </c>
      <c r="AR31" s="1188">
        <f>IF(ISNUMBER((Datos!P31-Datos!Q31)/(Datos!R31-Datos!P31+Datos!Q31)),(Datos!P31-Datos!Q31)/(Datos!R31-Datos!P31+Datos!Q31)," - ")</f>
        <v>1.7855351589928778E-2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583.75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2.0131148946216082</v>
      </c>
      <c r="F33" s="276">
        <f>IF(ISNUMBER(STDEV(F8:F30)),STDEV(F8:F30),"-")</f>
        <v>952.80388228388233</v>
      </c>
      <c r="G33" s="277">
        <f>IF(ISNUMBER(STDEV(G8:G30)),STDEV(G8:G30),"-")</f>
        <v>925.01857124214382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1184.3504247356136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296.74373530783163</v>
      </c>
      <c r="AJ33" s="276">
        <f t="shared" si="25"/>
        <v>0</v>
      </c>
      <c r="AK33" s="278">
        <f t="shared" si="25"/>
        <v>0</v>
      </c>
      <c r="AL33" s="273">
        <f t="shared" si="25"/>
        <v>0.21170328237621433</v>
      </c>
      <c r="AM33" s="274">
        <f t="shared" si="25"/>
        <v>4.7375565890359512</v>
      </c>
      <c r="AN33" s="274">
        <f t="shared" si="25"/>
        <v>0.1203237926228951</v>
      </c>
      <c r="AO33" s="275">
        <f t="shared" si="25"/>
        <v>1.5803978574220672</v>
      </c>
      <c r="AP33" s="317" t="str">
        <f t="shared" si="25"/>
        <v>-</v>
      </c>
      <c r="AQ33" s="318">
        <f t="shared" si="25"/>
        <v>0.76778431259376423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I8vFALOokkoeLZTxQ7wXxf86mWxooAhZhz5p7zlYcJBZSxaJJx+3LUc7rvkxu1uMrChsYSvAs/rrzz0ELMUSA==" saltValue="FTY0+ySRKzRz7OmGSu91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5.7142857142857141E-2</v>
      </c>
      <c r="I9" s="395">
        <f>IF(ISNUMBER((Tasas!C9-Datos!BE9)/Datos!BE9),(Tasas!C9-Datos!BE9)/Datos!BE9," - ")</f>
        <v>0.23183447391669496</v>
      </c>
      <c r="J9" s="394">
        <f>IF(ISNUMBER((Tasas!D9-Datos!BF9)/Datos!BF9),(Tasas!D9-Datos!BF9)/Datos!BF9," - ")</f>
        <v>-0.62335357515805978</v>
      </c>
      <c r="K9" s="396">
        <f>IF(ISNUMBER((Tasas!E9-Datos!BG9)/Datos!BG9),(Tasas!E9-Datos!BG9)/Datos!BG9," - ")</f>
        <v>0.16272853168720328</v>
      </c>
      <c r="M9" t="e">
        <f>IF(Monitorios="SI",Datos!CE9,0)</f>
        <v>#REF!</v>
      </c>
      <c r="N9" t="e">
        <f>IF(Monitorios="SI",Datos!CF9,0)</f>
        <v>#REF!</v>
      </c>
      <c r="O9" t="e">
        <f>IF(Monitorios="SI",Datos!CG9,0)</f>
        <v>#REF!</v>
      </c>
      <c r="P9" t="e">
        <f>IF(Monitorios="SI",Datos!CH9,0)</f>
        <v>#REF!</v>
      </c>
      <c r="Q9">
        <f>IF(J_V="SI",0,Datos!AG9)</f>
        <v>224</v>
      </c>
      <c r="R9">
        <f>IF(J_V="SI",0,Datos!AH9)</f>
        <v>146</v>
      </c>
      <c r="S9">
        <f>IF(J_V="SI",0,Datos!AI9)</f>
        <v>207</v>
      </c>
      <c r="T9">
        <f>IF(J_V="SI",0,Datos!AJ9)</f>
        <v>155</v>
      </c>
    </row>
    <row r="10" spans="2:20" ht="14.25">
      <c r="B10" s="300" t="s">
        <v>321</v>
      </c>
      <c r="C10" s="7" t="str">
        <f>Datos!A10</f>
        <v>Jdos. Violencia contra la mujer</v>
      </c>
      <c r="D10" s="397">
        <f>IF(ISNUMBER((Datos!I10-Datos!S10)/Datos!S10),(Datos!I10-Datos!S10)/Datos!S10," - ")</f>
        <v>0.30714285714285716</v>
      </c>
      <c r="E10" s="393">
        <f>IF(ISNUMBER((Datos!J10-Datos!T10)/Datos!T10),(Datos!J10-Datos!T10)/Datos!T10," - ")</f>
        <v>0.5957446808510638</v>
      </c>
      <c r="F10" s="393">
        <f>IF(ISNUMBER((Datos!K10-Datos!U10)/Datos!U10),(Datos!K10-Datos!U10)/Datos!U10," - ")</f>
        <v>0.22222222222222221</v>
      </c>
      <c r="G10" s="394">
        <f>IF(ISNUMBER((Datos!L10-Datos!V10)/Datos!V10),(Datos!L10-Datos!V10)/Datos!V10," - ")</f>
        <v>0.41721854304635764</v>
      </c>
      <c r="H10" s="244">
        <f>IF(ISNUMBER((Datos!M10-Datos!W10)/Datos!W10),(Datos!M10-Datos!W10)/Datos!W10," - ")</f>
        <v>0.30769230769230771</v>
      </c>
      <c r="I10" s="395">
        <f>IF(ISNUMBER((Tasas!C10-Datos!BE10)/Datos!BE10),(Tasas!C10-Datos!BE10)/Datos!BE10," - ")</f>
        <v>0.15954244431065609</v>
      </c>
      <c r="J10" s="394">
        <f>IF(ISNUMBER((Tasas!D10-Datos!BF10)/Datos!BF10),(Tasas!D10-Datos!BF10)/Datos!BF10," - ")</f>
        <v>6.9930069930069921E-2</v>
      </c>
      <c r="K10" s="396">
        <f>IF(ISNUMBER((Tasas!E10-Datos!BG10)/Datos!BG10),(Tasas!E10-Datos!BG10)/Datos!BG10," - ")</f>
        <v>0.12882839086047632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6.25E-2</v>
      </c>
      <c r="I14" s="402">
        <f>IF(ISNUMBER((Tasas!C14-Datos!BE14)/Datos!BE14),(Tasas!C14-Datos!BE14)/Datos!BE14," - ")</f>
        <v>0.23113947388139297</v>
      </c>
      <c r="J14" s="400">
        <f>IF(ISNUMBER((Tasas!D14-Datos!BF14)/Datos!BF14),(Tasas!D14-Datos!BF14)/Datos!BF14," - ")</f>
        <v>-0.61772290746153335</v>
      </c>
      <c r="K14" s="403">
        <f>IF(ISNUMBER((Tasas!E14-Datos!BG14)/Datos!BG14),(Tasas!E14-Datos!BG14)/Datos!BG14," - ")</f>
        <v>0.1628545047226278</v>
      </c>
      <c r="M14" t="e">
        <f>IF(Monitorios="SI",Datos!CE14,0)</f>
        <v>#REF!</v>
      </c>
      <c r="N14" t="e">
        <f>IF(Monitorios="SI",Datos!CF14,0)</f>
        <v>#REF!</v>
      </c>
      <c r="O14" t="e">
        <f>IF(Monitorios="SI",Datos!CG14,0)</f>
        <v>#REF!</v>
      </c>
      <c r="P14" t="e">
        <f>IF(Monitorios="SI",Datos!CH14,0)</f>
        <v>#REF!</v>
      </c>
      <c r="Q14">
        <f>IF(J_V="SI",0,Datos!AG14)</f>
        <v>224</v>
      </c>
      <c r="R14">
        <f>IF(J_V="SI",0,Datos!AH14)</f>
        <v>146</v>
      </c>
      <c r="S14">
        <f>IF(J_V="SI",0,Datos!AI14)</f>
        <v>207</v>
      </c>
      <c r="T14">
        <f>IF(J_V="SI",0,Datos!AJ14)</f>
        <v>155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-9.7516930022573362E-2</v>
      </c>
      <c r="E16" s="393">
        <f>IF(ISNUMBER(
   IF(D_I="SI",(Datos!J16-Datos!T16)/Datos!T16,(Datos!J16+Datos!AD16-(Datos!T16+Datos!AL16))/(Datos!T16+Datos!AL16))
     ),IF(D_I="SI",(Datos!J16-Datos!T16)/Datos!T16,(Datos!J16+Datos!AD16-(Datos!T16+Datos!AL16))/(Datos!T16+Datos!AL16))," - ")</f>
        <v>-7.7066965955854841E-2</v>
      </c>
      <c r="F16" s="393">
        <f>IF(ISNUMBER(
   IF(D_I="SI",(Datos!K16-Datos!U16)/Datos!U16,(Datos!K16+Datos!AE16-(Datos!U16+Datos!AM16))/(Datos!U16+Datos!AM16))
     ),IF(D_I="SI",(Datos!K16-Datos!U16)/Datos!U16,(Datos!K16+Datos!AE16-(Datos!U16+Datos!AM16))/(Datos!U16+Datos!AM16))," - ")</f>
        <v>-0.1060875756496974</v>
      </c>
      <c r="G16" s="394">
        <f>IF(ISNUMBER(
   IF(D_I="SI",(Datos!L16-Datos!V16)/Datos!V16,(Datos!L16+Datos!AF16-(Datos!V16+Datos!AN16))/(Datos!V16+Datos!AN16))
     ),IF(D_I="SI",(Datos!L16-Datos!V16)/Datos!V16,(Datos!L16+Datos!AF16-(Datos!V16+Datos!AN16))/(Datos!V16+Datos!AN16))," - ")</f>
        <v>-9.0783410138248852E-2</v>
      </c>
      <c r="H16" s="244">
        <f>IF(ISNUMBER((Datos!M16-Datos!W16)/Datos!W16),(Datos!M16-Datos!W16)/Datos!W16," - ")</f>
        <v>0.41714285714285715</v>
      </c>
      <c r="I16" s="395">
        <f>IF(ISNUMBER((Tasas!C16-Datos!BE16)/Datos!BE16),(Tasas!C16-Datos!BE16)/Datos!BE16," - ")</f>
        <v>1.7120430474575534E-2</v>
      </c>
      <c r="J16" s="394">
        <f>IF(ISNUMBER((Tasas!D16-Datos!BF16)/Datos!BF16),(Tasas!D16-Datos!BF16)/Datos!BF16," - ")</f>
        <v>0.58532627865961184</v>
      </c>
      <c r="K16" s="396">
        <f>IF(ISNUMBER((Tasas!E16-Datos!BG16)/Datos!BG16),(Tasas!E16-Datos!BG16)/Datos!BG16," - ")</f>
        <v>2.2098022383998082E-2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-0.28985507246376813</v>
      </c>
      <c r="E18" s="393">
        <f>IF(ISNUMBER(
   IF(D_I="SI",(Datos!J18-Datos!T18)/Datos!T18,(Datos!J18+Datos!AD18-(Datos!T18+Datos!AL18))/(Datos!T18+Datos!AL18))
     ),IF(D_I="SI",(Datos!J18-Datos!T18)/Datos!T18,(Datos!J18+Datos!AD18-(Datos!T18+Datos!AL18))/(Datos!T18+Datos!AL18))," - ")</f>
        <v>-1.8633540372670808E-2</v>
      </c>
      <c r="F18" s="393">
        <f>IF(ISNUMBER(
   IF(D_I="SI",(Datos!K18-Datos!U18)/Datos!U18,(Datos!K18+Datos!AE18-(Datos!U18+Datos!AM18))/(Datos!U18+Datos!AM18))
     ),IF(D_I="SI",(Datos!K18-Datos!U18)/Datos!U18,(Datos!K18+Datos!AE18-(Datos!U18+Datos!AM18))/(Datos!U18+Datos!AM18))," - ")</f>
        <v>-0.18095238095238095</v>
      </c>
      <c r="G18" s="394">
        <f>IF(ISNUMBER(
   IF(D_I="SI",(Datos!L18-Datos!V18)/Datos!V18,(Datos!L18+Datos!AF18-(Datos!V18+Datos!AN18))/(Datos!V18+Datos!AN18))
     ),IF(D_I="SI",(Datos!L18-Datos!V18)/Datos!V18,(Datos!L18+Datos!AF18-(Datos!V18+Datos!AN18))/(Datos!V18+Datos!AN18))," - ")</f>
        <v>-0.15822784810126583</v>
      </c>
      <c r="H18" s="244">
        <f>IF(ISNUMBER((Datos!M18-Datos!W18)/Datos!W18),(Datos!M18-Datos!W18)/Datos!W18," - ")</f>
        <v>-0.15625</v>
      </c>
      <c r="I18" s="395">
        <f>IF(ISNUMBER((Tasas!C18-Datos!BE18)/Datos!BE18),(Tasas!C18-Datos!BE18)/Datos!BE18," - ")</f>
        <v>2.7745069178687142E-2</v>
      </c>
      <c r="J18" s="394">
        <f>IF(ISNUMBER((Tasas!D18-Datos!BF18)/Datos!BF18),(Tasas!D18-Datos!BF18)/Datos!BF18," - ")</f>
        <v>3.0159883720930147E-2</v>
      </c>
      <c r="K18" s="396">
        <f>IF(ISNUMBER((Tasas!E18-Datos!BG18)/Datos!BG18),(Tasas!E18-Datos!BG18)/Datos!BG18," - ")</f>
        <v>1.1912285136501544E-2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-0.11367380560131796</v>
      </c>
      <c r="E23" s="399">
        <f>IF(ISNUMBER(
   IF(D_I="SI",(Datos!J23-Datos!T23)/Datos!T23,(Datos!J23+Datos!AD23-(Datos!T23+Datos!AL23))/(Datos!T23+Datos!AL23))
     ),IF(D_I="SI",(Datos!J23-Datos!T23)/Datos!T23,(Datos!J23+Datos!AD23-(Datos!T23+Datos!AL23))/(Datos!T23+Datos!AL23))," - ")</f>
        <v>-7.3747353563867329E-2</v>
      </c>
      <c r="F23" s="399">
        <f>IF(ISNUMBER(
   IF(D_I="SI",(Datos!K23-Datos!U23)/Datos!U23,(Datos!K23+Datos!AE23-(Datos!U23+Datos!AM23))/(Datos!U23+Datos!AM23))
     ),IF(D_I="SI",(Datos!K23-Datos!U23)/Datos!U23,(Datos!K23+Datos!AE23-(Datos!U23+Datos!AM23))/(Datos!U23+Datos!AM23))," - ")</f>
        <v>-0.11129513083802584</v>
      </c>
      <c r="G23" s="400">
        <f>IF(ISNUMBER(
   IF(D_I="SI",(Datos!L23-Datos!V23)/Datos!V23,(Datos!L23+Datos!AF23-(Datos!V23+Datos!AN23))/(Datos!V23+Datos!AN23))
     ),IF(D_I="SI",(Datos!L23-Datos!V23)/Datos!V23,(Datos!L23+Datos!AF23-(Datos!V23+Datos!AN23))/(Datos!V23+Datos!AN23))," - ")</f>
        <v>-9.5115681233933158E-2</v>
      </c>
      <c r="H23" s="401">
        <f>IF(ISNUMBER((Datos!M23-Datos!W23)/Datos!W23),(Datos!M23-Datos!W23)/Datos!W23," - ")</f>
        <v>0.32850241545893721</v>
      </c>
      <c r="I23" s="402">
        <f>IF(ISNUMBER((Tasas!C23-Datos!BE23)/Datos!BE23),(Tasas!C23-Datos!BE23)/Datos!BE23," - ")</f>
        <v>1.8205649778142364E-2</v>
      </c>
      <c r="J23" s="400">
        <f>IF(ISNUMBER((Tasas!D23-Datos!BF23)/Datos!BF23),(Tasas!D23-Datos!BF23)/Datos!BF23," - ")</f>
        <v>0.49487468962748088</v>
      </c>
      <c r="K23" s="403">
        <f>IF(ISNUMBER((Tasas!E23-Datos!BG23)/Datos!BG23),(Tasas!E23-Datos!BG23)/Datos!BG23," - ")</f>
        <v>2.151991514913006E-2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1.4388489208633094E-2</v>
      </c>
      <c r="E31" s="409">
        <f>IF(ISNUMBER(
   IF(J_V="SI",(Datos!J31-Datos!T31)/Datos!T31,(Datos!J31+Datos!Z31-(Datos!T31+Datos!AH31))/(Datos!T31+Datos!AH31))
     ),IF(J_V="SI",(Datos!J31-Datos!T31)/Datos!T31,(Datos!J31+Datos!Z31-(Datos!T31+Datos!AH31))/(Datos!T31+Datos!AH31))," - ")</f>
        <v>0.19297635605006955</v>
      </c>
      <c r="F31" s="409">
        <f>IF(ISNUMBER(
   IF(J_V="SI",(Datos!K31-Datos!U31)/Datos!U31,(Datos!K31+Datos!AA31-(Datos!U31+Datos!AI31))/(Datos!U31+Datos!AI31))
     ),IF(J_V="SI",(Datos!K31-Datos!U31)/Datos!U31,(Datos!K31+Datos!AA31-(Datos!U31+Datos!AI31))/(Datos!U31+Datos!AI31))," - ")</f>
        <v>-3.4361515103084543E-2</v>
      </c>
      <c r="G31" s="410">
        <f>IF(ISNUMBER(
   IF(J_V="SI",(Datos!L31-Datos!V31)/Datos!V31,(Datos!L31+Datos!AB31-(Datos!V31+Datos!AJ31))/(Datos!V31+Datos!AJ31))
     ),IF(J_V="SI",(Datos!L31-Datos!V31)/Datos!V31,(Datos!L31+Datos!AB31-(Datos!V31+Datos!AJ31))/(Datos!V31+Datos!AJ31))," - ")</f>
        <v>0.16159063705279958</v>
      </c>
      <c r="H31" s="411">
        <f>IF(ISNUMBER((Datos!M31-Datos!W31)/Datos!W31),(Datos!M31-Datos!W31)/Datos!W31," - ")</f>
        <v>0.17025440313111545</v>
      </c>
      <c r="I31" s="408">
        <f>IF(ISNUMBER((Tasas!C31-Datos!BE31)/Datos!BE31),(Tasas!C31-Datos!BE31)/Datos!BE31," - ")</f>
        <v>0.2029249612776178</v>
      </c>
      <c r="J31" s="409">
        <f>IF(ISNUMBER((Tasas!D31-Datos!BF31)/Datos!BF31),(Tasas!D31-Datos!BF31)/Datos!BF31," - ")</f>
        <v>-0.39375489212970455</v>
      </c>
      <c r="K31" s="410">
        <f>IF(ISNUMBER((Tasas!E31-Datos!BG31)/Datos!BG31),(Tasas!E31-Datos!BG31)/Datos!BG31," - ")</f>
        <v>0.12907448784434883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0.21980918575593414</v>
      </c>
      <c r="E33" s="303">
        <f t="shared" si="1"/>
        <v>0.32721281459146406</v>
      </c>
      <c r="F33" s="303">
        <f t="shared" si="1"/>
        <v>0.18075187850880822</v>
      </c>
      <c r="G33" s="304">
        <f t="shared" si="1"/>
        <v>0.23201697591277423</v>
      </c>
      <c r="H33" s="310">
        <f t="shared" si="1"/>
        <v>0.21720591366780845</v>
      </c>
      <c r="I33" s="302">
        <f t="shared" si="1"/>
        <v>0.10552955546864429</v>
      </c>
      <c r="J33" s="303">
        <f t="shared" si="1"/>
        <v>0.52208104738448291</v>
      </c>
      <c r="K33" s="304">
        <f t="shared" si="1"/>
        <v>7.3962382122892315E-2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VBJugXn9PuPIQ0GMNcncxzxv3YJes5I/LjxWBr7Hvr63mRNj1OoxUKF0FQK5VB3JL27tFePc4rWX0qcudOIYw==" saltValue="fsh+0v2yY1Uwuv7sSgUX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